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4240" windowHeight="13740"/>
  </bookViews>
  <sheets>
    <sheet name="Orçamento" sheetId="1" r:id="rId1"/>
    <sheet name="BDI" sheetId="2" r:id="rId2"/>
    <sheet name="ESPELHO" sheetId="3" r:id="rId3"/>
    <sheet name="CRONOGRAMA P1" sheetId="4" r:id="rId4"/>
    <sheet name="CRONOGRAMA P2" sheetId="5" r:id="rId5"/>
    <sheet name="Plan1" sheetId="6" state="hidden" r:id="rId6"/>
    <sheet name="Plan2" sheetId="7" state="hidden" r:id="rId7"/>
    <sheet name="Plan3" sheetId="8" state="hidden" r:id="rId8"/>
  </sheets>
  <externalReferences>
    <externalReference r:id="rId9"/>
    <externalReference r:id="rId10"/>
  </externalReferences>
  <definedNames>
    <definedName name="_xlnm.Print_Area" localSheetId="1">BDI!$J$1:$S$56</definedName>
    <definedName name="_xlnm.Print_Area" localSheetId="3">'CRONOGRAMA P1'!$A$1:$O$33</definedName>
    <definedName name="_xlnm.Print_Area" localSheetId="4">'CRONOGRAMA P2'!$A$1:$O$33</definedName>
    <definedName name="_xlnm.Print_Area" localSheetId="0">Orçamento!$A$1:$S$556</definedName>
    <definedName name="BDI.Opcao" hidden="1">[1]DADOS!$F$18</definedName>
    <definedName name="BDI.TipoObra" hidden="1">[1]BDI!$A$138:$A$146</definedName>
    <definedName name="DESONERACAO" hidden="1">IF(OR(Import.Desoneracao="DESONERADO",Import.Desoneracao="SIM"),"SIM","NÃO")</definedName>
    <definedName name="Import.Apelido" hidden="1">[1]DADOS!$F$16</definedName>
    <definedName name="Import.CR" hidden="1">[1]DADOS!$F$7</definedName>
    <definedName name="Import.DescLote" hidden="1">[1]DADOS!$F$17</definedName>
    <definedName name="Import.Desoneracao" hidden="1">OFFSET([1]DADOS!$G$18,0,-1)</definedName>
    <definedName name="Import.Município" hidden="1">[1]DADOS!$F$6</definedName>
    <definedName name="Import.Proponente" hidden="1">[1]DADOS!$F$5</definedName>
    <definedName name="Import.RespOrçamento" hidden="1">[1]DADOS!$F$22:$F$24</definedName>
    <definedName name="Import.SICONV" hidden="1">[1]DADOS!$F$8</definedName>
    <definedName name="_xlnm.Print_Titles" localSheetId="3">'CRONOGRAMA P1'!$1:$10</definedName>
    <definedName name="_xlnm.Print_Titles" localSheetId="4">'CRONOGRAMA P2'!$1:$10</definedName>
    <definedName name="_xlnm.Print_Titles" localSheetId="0">Orçamento!$1:$9</definedName>
  </definedNames>
  <calcPr calcId="144525"/>
</workbook>
</file>

<file path=xl/calcChain.xml><?xml version="1.0" encoding="utf-8"?>
<calcChain xmlns="http://schemas.openxmlformats.org/spreadsheetml/2006/main">
  <c r="H179" i="1" l="1"/>
  <c r="H93" i="1" l="1"/>
  <c r="C31" i="3" l="1"/>
  <c r="C30" i="3"/>
  <c r="C29" i="3"/>
  <c r="C27" i="3"/>
  <c r="C26" i="3"/>
  <c r="C25" i="3"/>
  <c r="C23" i="3"/>
  <c r="C22" i="3"/>
  <c r="C21" i="3"/>
  <c r="C19" i="3"/>
  <c r="C18" i="3"/>
  <c r="C17" i="3"/>
  <c r="C16" i="3"/>
  <c r="C15" i="3"/>
  <c r="C12" i="3"/>
  <c r="C11" i="3"/>
  <c r="C10" i="3"/>
  <c r="H92" i="1"/>
  <c r="H91" i="1"/>
  <c r="H101" i="1"/>
  <c r="H86" i="1"/>
  <c r="H75" i="1"/>
  <c r="H62" i="1"/>
  <c r="H46" i="1"/>
  <c r="H183" i="1" l="1"/>
  <c r="H163" i="1"/>
  <c r="H384" i="1"/>
  <c r="H162" i="1" l="1"/>
  <c r="T29" i="2"/>
  <c r="H71" i="1" l="1"/>
  <c r="F22" i="7" l="1"/>
  <c r="I6" i="7" l="1"/>
  <c r="I8" i="7"/>
  <c r="I4" i="7"/>
  <c r="I7" i="7"/>
  <c r="I5" i="7"/>
  <c r="H7" i="7"/>
  <c r="H6" i="7"/>
  <c r="H5" i="7"/>
  <c r="E8" i="7"/>
  <c r="E5" i="7"/>
  <c r="E6" i="7"/>
  <c r="E7" i="7"/>
  <c r="E4" i="7"/>
  <c r="F5" i="6" l="1"/>
  <c r="F6" i="6"/>
  <c r="F4" i="6"/>
  <c r="F2" i="6"/>
  <c r="A8" i="6" l="1"/>
  <c r="A7" i="6"/>
  <c r="A6" i="6"/>
  <c r="H534" i="1" l="1"/>
  <c r="H535" i="1"/>
  <c r="H536" i="1"/>
  <c r="H532" i="1"/>
  <c r="H533" i="1"/>
  <c r="H540" i="1"/>
  <c r="H539" i="1"/>
  <c r="H538" i="1"/>
  <c r="H537" i="1"/>
  <c r="H531" i="1"/>
  <c r="H530" i="1"/>
  <c r="H529" i="1"/>
  <c r="H528" i="1"/>
  <c r="H527" i="1"/>
  <c r="H526" i="1"/>
  <c r="H525" i="1"/>
  <c r="H103" i="1"/>
  <c r="H94" i="1"/>
  <c r="H520" i="1"/>
  <c r="H380" i="1"/>
  <c r="H454" i="1"/>
  <c r="H453" i="1"/>
  <c r="H451" i="1"/>
  <c r="H450" i="1"/>
  <c r="H447" i="1"/>
  <c r="H448" i="1"/>
  <c r="H444" i="1"/>
  <c r="H445" i="1"/>
  <c r="H441" i="1"/>
  <c r="H442" i="1"/>
  <c r="H443" i="1"/>
  <c r="H438" i="1"/>
  <c r="H439" i="1"/>
  <c r="H375" i="1"/>
  <c r="H376" i="1"/>
  <c r="H377" i="1"/>
  <c r="H378" i="1"/>
  <c r="H379" i="1"/>
  <c r="H203" i="1"/>
  <c r="H181" i="1"/>
  <c r="H159" i="1"/>
  <c r="H160" i="1"/>
  <c r="H149" i="1"/>
  <c r="H148" i="1"/>
  <c r="H147" i="1"/>
  <c r="H541" i="1" l="1"/>
  <c r="H542" i="1" s="1"/>
  <c r="C138" i="1"/>
  <c r="C137" i="1"/>
  <c r="C136" i="1"/>
  <c r="C135" i="1"/>
  <c r="H63" i="1"/>
  <c r="H51" i="1"/>
  <c r="H38" i="1"/>
  <c r="H33" i="1"/>
  <c r="H31" i="1"/>
  <c r="H32" i="1"/>
  <c r="A7" i="5"/>
  <c r="A6" i="5"/>
  <c r="A5" i="5"/>
  <c r="A4" i="5"/>
  <c r="J10" i="2"/>
  <c r="A25" i="3" l="1"/>
  <c r="A24" i="3"/>
  <c r="A23" i="3"/>
  <c r="A22" i="3"/>
  <c r="A21" i="3"/>
  <c r="A20" i="3"/>
  <c r="A19" i="3"/>
  <c r="A18" i="3"/>
  <c r="A17" i="3"/>
  <c r="A16" i="3"/>
  <c r="A14" i="3"/>
  <c r="A13" i="3"/>
  <c r="A12" i="3"/>
  <c r="A11" i="3"/>
  <c r="A10" i="3"/>
  <c r="H496" i="1"/>
  <c r="H497" i="1"/>
  <c r="H492" i="1"/>
  <c r="H495" i="1"/>
  <c r="H493" i="1"/>
  <c r="H491" i="1"/>
  <c r="H489" i="1"/>
  <c r="H484" i="1"/>
  <c r="H485" i="1"/>
  <c r="H486" i="1"/>
  <c r="H487" i="1"/>
  <c r="H488" i="1"/>
  <c r="H490" i="1"/>
  <c r="H483" i="1"/>
  <c r="H109" i="1"/>
  <c r="H110" i="1" s="1"/>
  <c r="H112" i="1"/>
  <c r="H113" i="1" s="1"/>
  <c r="H516" i="1"/>
  <c r="H515" i="1"/>
  <c r="H514" i="1"/>
  <c r="H513" i="1"/>
  <c r="H512" i="1"/>
  <c r="H507" i="1"/>
  <c r="H508" i="1"/>
  <c r="H509" i="1"/>
  <c r="H510" i="1"/>
  <c r="H511" i="1"/>
  <c r="H503" i="1"/>
  <c r="H504" i="1"/>
  <c r="H505" i="1"/>
  <c r="H506" i="1"/>
  <c r="H502" i="1"/>
  <c r="H461" i="1"/>
  <c r="H479" i="1"/>
  <c r="H477" i="1"/>
  <c r="H478" i="1"/>
  <c r="H474" i="1"/>
  <c r="H475" i="1"/>
  <c r="H476" i="1"/>
  <c r="H473" i="1"/>
  <c r="H472" i="1"/>
  <c r="H471" i="1"/>
  <c r="H470" i="1"/>
  <c r="H469" i="1"/>
  <c r="H468" i="1"/>
  <c r="H467" i="1"/>
  <c r="H466" i="1"/>
  <c r="H410" i="1"/>
  <c r="H409" i="1"/>
  <c r="H408" i="1"/>
  <c r="H430" i="1"/>
  <c r="H460" i="1"/>
  <c r="H462" i="1"/>
  <c r="H458" i="1"/>
  <c r="H459" i="1"/>
  <c r="H457" i="1"/>
  <c r="H433" i="1"/>
  <c r="H452" i="1"/>
  <c r="H449" i="1"/>
  <c r="H456" i="1"/>
  <c r="H455" i="1"/>
  <c r="H446" i="1"/>
  <c r="H434" i="1"/>
  <c r="H435" i="1"/>
  <c r="H436" i="1"/>
  <c r="H437" i="1"/>
  <c r="H440" i="1"/>
  <c r="H432" i="1"/>
  <c r="H426" i="1"/>
  <c r="H427" i="1"/>
  <c r="H428" i="1"/>
  <c r="H422" i="1"/>
  <c r="H423" i="1"/>
  <c r="H424" i="1"/>
  <c r="H425" i="1"/>
  <c r="H421" i="1"/>
  <c r="H420" i="1"/>
  <c r="H419" i="1"/>
  <c r="H418" i="1"/>
  <c r="H413" i="1"/>
  <c r="H403" i="1"/>
  <c r="H404" i="1"/>
  <c r="H405" i="1"/>
  <c r="H402" i="1"/>
  <c r="H400" i="1"/>
  <c r="H393" i="1"/>
  <c r="H392" i="1"/>
  <c r="H389" i="1"/>
  <c r="H387" i="1"/>
  <c r="H388" i="1"/>
  <c r="H374" i="1"/>
  <c r="H373" i="1"/>
  <c r="H372" i="1"/>
  <c r="H371" i="1"/>
  <c r="H370" i="1"/>
  <c r="H369" i="1"/>
  <c r="H368" i="1"/>
  <c r="H365" i="1"/>
  <c r="H364" i="1"/>
  <c r="H363" i="1"/>
  <c r="H362" i="1"/>
  <c r="H361" i="1"/>
  <c r="H360" i="1"/>
  <c r="H359" i="1"/>
  <c r="H356" i="1"/>
  <c r="H353" i="1"/>
  <c r="H352" i="1"/>
  <c r="H351" i="1"/>
  <c r="H348" i="1"/>
  <c r="H347" i="1"/>
  <c r="H346" i="1"/>
  <c r="H345" i="1"/>
  <c r="H344" i="1"/>
  <c r="H343" i="1"/>
  <c r="H342" i="1"/>
  <c r="H341" i="1"/>
  <c r="H340" i="1"/>
  <c r="H335" i="1"/>
  <c r="H334" i="1"/>
  <c r="H336" i="1"/>
  <c r="H337" i="1"/>
  <c r="H332" i="1"/>
  <c r="H333" i="1"/>
  <c r="H331" i="1"/>
  <c r="H330" i="1"/>
  <c r="H328" i="1"/>
  <c r="H327" i="1"/>
  <c r="H326" i="1"/>
  <c r="H325" i="1"/>
  <c r="H324" i="1"/>
  <c r="H323" i="1"/>
  <c r="H312" i="1"/>
  <c r="H313" i="1"/>
  <c r="H314" i="1"/>
  <c r="H315" i="1"/>
  <c r="H316" i="1"/>
  <c r="H317" i="1"/>
  <c r="H318" i="1"/>
  <c r="H319" i="1"/>
  <c r="H320" i="1"/>
  <c r="H302" i="1"/>
  <c r="H303" i="1"/>
  <c r="H304" i="1"/>
  <c r="H305" i="1"/>
  <c r="H306" i="1"/>
  <c r="H307" i="1"/>
  <c r="H308" i="1"/>
  <c r="H309" i="1"/>
  <c r="H310" i="1"/>
  <c r="H311" i="1"/>
  <c r="H295" i="1"/>
  <c r="H296" i="1"/>
  <c r="H297" i="1"/>
  <c r="H298" i="1"/>
  <c r="H299" i="1"/>
  <c r="H300" i="1"/>
  <c r="H301" i="1"/>
  <c r="H285" i="1"/>
  <c r="H286" i="1"/>
  <c r="H287" i="1"/>
  <c r="H288" i="1"/>
  <c r="H289" i="1"/>
  <c r="H290" i="1"/>
  <c r="H291" i="1"/>
  <c r="H292" i="1"/>
  <c r="H293" i="1"/>
  <c r="H294" i="1"/>
  <c r="H284" i="1"/>
  <c r="H283" i="1"/>
  <c r="H281" i="1"/>
  <c r="H282" i="1"/>
  <c r="H280" i="1"/>
  <c r="H279" i="1"/>
  <c r="H274" i="1"/>
  <c r="H271" i="1"/>
  <c r="H272" i="1"/>
  <c r="H273" i="1"/>
  <c r="H266" i="1"/>
  <c r="H264" i="1"/>
  <c r="H261" i="1"/>
  <c r="H260" i="1"/>
  <c r="H259" i="1"/>
  <c r="H256" i="1"/>
  <c r="H258" i="1"/>
  <c r="H257" i="1"/>
  <c r="H255" i="1"/>
  <c r="H254" i="1"/>
  <c r="H249" i="1"/>
  <c r="H276" i="1"/>
  <c r="H275" i="1"/>
  <c r="H270" i="1"/>
  <c r="H268" i="1"/>
  <c r="H265" i="1"/>
  <c r="H267" i="1"/>
  <c r="H252" i="1"/>
  <c r="H253" i="1"/>
  <c r="H250" i="1"/>
  <c r="H251" i="1"/>
  <c r="H247" i="1"/>
  <c r="H248" i="1"/>
  <c r="H246" i="1"/>
  <c r="H245" i="1"/>
  <c r="H240" i="1"/>
  <c r="H241" i="1"/>
  <c r="H242" i="1"/>
  <c r="H243" i="1"/>
  <c r="H244" i="1"/>
  <c r="H239" i="1"/>
  <c r="H235" i="1"/>
  <c r="H238" i="1"/>
  <c r="H237" i="1"/>
  <c r="H236" i="1"/>
  <c r="H232" i="1"/>
  <c r="H233" i="1"/>
  <c r="H234" i="1"/>
  <c r="H231" i="1"/>
  <c r="H225" i="1"/>
  <c r="H226" i="1"/>
  <c r="H381" i="1" l="1"/>
  <c r="H114" i="1"/>
  <c r="H480" i="1"/>
  <c r="H481" i="1" s="1"/>
  <c r="H366" i="1"/>
  <c r="H321" i="1"/>
  <c r="H227" i="1"/>
  <c r="H219" i="1"/>
  <c r="H202" i="1"/>
  <c r="H182" i="1"/>
  <c r="H180" i="1"/>
  <c r="H197" i="1"/>
  <c r="H196" i="1"/>
  <c r="H195" i="1"/>
  <c r="H194" i="1"/>
  <c r="H190" i="1"/>
  <c r="H215" i="1"/>
  <c r="H214" i="1"/>
  <c r="H211" i="1"/>
  <c r="H210" i="1"/>
  <c r="H189" i="1"/>
  <c r="H188" i="1"/>
  <c r="H187" i="1"/>
  <c r="H178" i="1"/>
  <c r="H184" i="1" s="1"/>
  <c r="H192" i="1" s="1"/>
  <c r="C20" i="3" s="1"/>
  <c r="H175" i="1"/>
  <c r="H174" i="1"/>
  <c r="H171" i="1"/>
  <c r="H170" i="1"/>
  <c r="H168" i="1"/>
  <c r="H161" i="1"/>
  <c r="H164" i="1" s="1"/>
  <c r="H155" i="1"/>
  <c r="H156" i="1" s="1"/>
  <c r="H146" i="1"/>
  <c r="H137" i="1"/>
  <c r="H150" i="1"/>
  <c r="H145" i="1"/>
  <c r="H144" i="1"/>
  <c r="H216" i="1" l="1"/>
  <c r="H191" i="1"/>
  <c r="H176" i="1"/>
  <c r="H151" i="1"/>
  <c r="H139" i="1"/>
  <c r="H133" i="1"/>
  <c r="H134" i="1"/>
  <c r="H135" i="1"/>
  <c r="H136" i="1"/>
  <c r="H138" i="1"/>
  <c r="H131" i="1"/>
  <c r="H132" i="1"/>
  <c r="H130" i="1"/>
  <c r="H119" i="1"/>
  <c r="H117" i="1"/>
  <c r="H120" i="1"/>
  <c r="H121" i="1"/>
  <c r="H100" i="1"/>
  <c r="H99" i="1"/>
  <c r="H98" i="1"/>
  <c r="H97" i="1"/>
  <c r="H96" i="1"/>
  <c r="H95" i="1"/>
  <c r="H102" i="1"/>
  <c r="H82" i="1"/>
  <c r="H81" i="1"/>
  <c r="H80" i="1"/>
  <c r="H85" i="1"/>
  <c r="H84" i="1"/>
  <c r="H83" i="1"/>
  <c r="H74" i="1"/>
  <c r="H73" i="1"/>
  <c r="H72" i="1"/>
  <c r="H70" i="1"/>
  <c r="H56" i="1"/>
  <c r="H59" i="1"/>
  <c r="H58" i="1"/>
  <c r="H57" i="1"/>
  <c r="H55" i="1"/>
  <c r="H54" i="1"/>
  <c r="H37" i="1" l="1"/>
  <c r="H50" i="1"/>
  <c r="H43" i="1"/>
  <c r="H41" i="1"/>
  <c r="H42" i="1"/>
  <c r="H44" i="1"/>
  <c r="H45" i="1"/>
  <c r="H20" i="1"/>
  <c r="H25" i="1"/>
  <c r="H24" i="1"/>
  <c r="H27" i="1" s="1"/>
  <c r="A7" i="4"/>
  <c r="A6" i="4"/>
  <c r="A5" i="4"/>
  <c r="A4" i="4"/>
  <c r="A7" i="3"/>
  <c r="A6" i="3"/>
  <c r="A5" i="3"/>
  <c r="A4" i="3"/>
  <c r="H28" i="1" l="1"/>
  <c r="C5" i="2"/>
  <c r="A6" i="2"/>
  <c r="C6" i="2" s="1"/>
  <c r="C11" i="2"/>
  <c r="C12" i="2"/>
  <c r="C13" i="2"/>
  <c r="C14" i="2"/>
  <c r="C15" i="2"/>
  <c r="C16" i="2"/>
  <c r="C17" i="2"/>
  <c r="A18" i="2"/>
  <c r="C18" i="2" s="1"/>
  <c r="C23" i="2"/>
  <c r="A24" i="2"/>
  <c r="C24" i="2" s="1"/>
  <c r="C29" i="2"/>
  <c r="A30" i="2"/>
  <c r="C30" i="2" s="1"/>
  <c r="C35" i="2"/>
  <c r="A36" i="2"/>
  <c r="C36" i="2" s="1"/>
  <c r="C41" i="2"/>
  <c r="C42" i="2"/>
  <c r="C43" i="2"/>
  <c r="C44" i="2"/>
  <c r="C45" i="2"/>
  <c r="C46" i="2"/>
  <c r="C47" i="2"/>
  <c r="A48" i="2"/>
  <c r="C48" i="2" s="1"/>
  <c r="J41" i="2"/>
  <c r="N38" i="2"/>
  <c r="R28" i="2"/>
  <c r="J28" i="2"/>
  <c r="R27" i="2"/>
  <c r="J27" i="2"/>
  <c r="R26" i="2"/>
  <c r="J26" i="2"/>
  <c r="R25" i="2"/>
  <c r="J25" i="2"/>
  <c r="R24" i="2"/>
  <c r="Z24" i="2" s="1"/>
  <c r="J24" i="2"/>
  <c r="O4" i="2"/>
  <c r="H544" i="1"/>
  <c r="H545" i="1"/>
  <c r="H549" i="1"/>
  <c r="H550" i="1" s="1"/>
  <c r="H498" i="1"/>
  <c r="H494" i="1"/>
  <c r="H499" i="1" l="1"/>
  <c r="H500" i="1" s="1"/>
  <c r="A19" i="2"/>
  <c r="C19" i="2" s="1"/>
  <c r="A25" i="2"/>
  <c r="C25" i="2" s="1"/>
  <c r="A7" i="2"/>
  <c r="C7" i="2" s="1"/>
  <c r="Z26" i="2" s="1"/>
  <c r="H546" i="1"/>
  <c r="H547" i="1" s="1"/>
  <c r="A49" i="2"/>
  <c r="A31" i="2"/>
  <c r="Z25" i="2"/>
  <c r="A37" i="2"/>
  <c r="X24" i="2"/>
  <c r="Y24" i="2"/>
  <c r="S24" i="2" s="1"/>
  <c r="X25" i="2"/>
  <c r="Y25" i="2"/>
  <c r="S25" i="2" s="1"/>
  <c r="Y26" i="2"/>
  <c r="S26" i="2" s="1"/>
  <c r="H551" i="1"/>
  <c r="H355" i="1"/>
  <c r="H354" i="1"/>
  <c r="H350" i="1"/>
  <c r="H349" i="1"/>
  <c r="H104" i="1"/>
  <c r="A8" i="2" l="1"/>
  <c r="A9" i="2" s="1"/>
  <c r="X26" i="2"/>
  <c r="A20" i="2"/>
  <c r="A21" i="2" s="1"/>
  <c r="A26" i="2"/>
  <c r="A27" i="2" s="1"/>
  <c r="H357" i="1"/>
  <c r="A32" i="2"/>
  <c r="C31" i="2"/>
  <c r="C37" i="2"/>
  <c r="A38" i="2"/>
  <c r="A50" i="2"/>
  <c r="C49" i="2"/>
  <c r="H204" i="1"/>
  <c r="H169" i="1"/>
  <c r="H172" i="1" s="1"/>
  <c r="H34" i="1"/>
  <c r="H35" i="1" s="1"/>
  <c r="H60" i="1"/>
  <c r="H64" i="1"/>
  <c r="H53" i="1"/>
  <c r="H52" i="1"/>
  <c r="H47" i="1"/>
  <c r="H431" i="1"/>
  <c r="H429" i="1"/>
  <c r="H417" i="1"/>
  <c r="H415" i="1"/>
  <c r="H416" i="1"/>
  <c r="H414" i="1"/>
  <c r="H412" i="1"/>
  <c r="H411" i="1"/>
  <c r="H407" i="1"/>
  <c r="H406" i="1"/>
  <c r="H401" i="1"/>
  <c r="H399" i="1"/>
  <c r="H398" i="1"/>
  <c r="H397" i="1"/>
  <c r="H396" i="1"/>
  <c r="H395" i="1"/>
  <c r="H394" i="1"/>
  <c r="H391" i="1"/>
  <c r="H390" i="1"/>
  <c r="H386" i="1"/>
  <c r="H329" i="1"/>
  <c r="H338" i="1" s="1"/>
  <c r="H269" i="1"/>
  <c r="H263" i="1"/>
  <c r="H262" i="1"/>
  <c r="H13" i="1"/>
  <c r="H157" i="1"/>
  <c r="H140" i="1"/>
  <c r="H129" i="1"/>
  <c r="H124" i="1"/>
  <c r="H61" i="1"/>
  <c r="H123" i="1"/>
  <c r="H122" i="1"/>
  <c r="H118" i="1"/>
  <c r="H87" i="1"/>
  <c r="H76" i="1"/>
  <c r="H69" i="1"/>
  <c r="H39" i="1"/>
  <c r="H125" i="1" l="1"/>
  <c r="H77" i="1"/>
  <c r="C8" i="2"/>
  <c r="Y27" i="2" s="1"/>
  <c r="S27" i="2" s="1"/>
  <c r="C20" i="2"/>
  <c r="C26" i="2"/>
  <c r="H277" i="1"/>
  <c r="H382" i="1" s="1"/>
  <c r="C24" i="3" s="1"/>
  <c r="H141" i="1"/>
  <c r="H152" i="1" s="1"/>
  <c r="H65" i="1"/>
  <c r="C50" i="2"/>
  <c r="A51" i="2"/>
  <c r="C32" i="2"/>
  <c r="A33" i="2"/>
  <c r="C9" i="2"/>
  <c r="A10" i="2"/>
  <c r="C10" i="2" s="1"/>
  <c r="C38" i="2"/>
  <c r="A39" i="2"/>
  <c r="C27" i="2"/>
  <c r="A28" i="2"/>
  <c r="C28" i="2" s="1"/>
  <c r="C21" i="2"/>
  <c r="A22" i="2"/>
  <c r="C22" i="2" s="1"/>
  <c r="H19" i="1"/>
  <c r="H14" i="1"/>
  <c r="H521" i="1"/>
  <c r="H519" i="1"/>
  <c r="H518" i="1"/>
  <c r="H517" i="1"/>
  <c r="H385" i="1"/>
  <c r="H463" i="1" s="1"/>
  <c r="H222" i="1"/>
  <c r="H223" i="1" s="1"/>
  <c r="H218" i="1"/>
  <c r="H220" i="1" s="1"/>
  <c r="H209" i="1"/>
  <c r="H212" i="1" s="1"/>
  <c r="H201" i="1"/>
  <c r="H90" i="1"/>
  <c r="H105" i="1" s="1"/>
  <c r="H79" i="1"/>
  <c r="H88" i="1" s="1"/>
  <c r="H40" i="1"/>
  <c r="H48" i="1" s="1"/>
  <c r="H18" i="1"/>
  <c r="H12" i="1"/>
  <c r="H522" i="1" l="1"/>
  <c r="H523" i="1" s="1"/>
  <c r="C28" i="3" s="1"/>
  <c r="X27" i="2"/>
  <c r="Z28" i="2"/>
  <c r="H106" i="1"/>
  <c r="C14" i="3" s="1"/>
  <c r="Z27" i="2"/>
  <c r="Y28" i="2"/>
  <c r="H228" i="1"/>
  <c r="Z32" i="2"/>
  <c r="H21" i="1"/>
  <c r="H22" i="1" s="1"/>
  <c r="H15" i="1"/>
  <c r="H16" i="1" s="1"/>
  <c r="Y32" i="2"/>
  <c r="A52" i="2"/>
  <c r="C52" i="2" s="1"/>
  <c r="C51" i="2"/>
  <c r="X32" i="2"/>
  <c r="X28" i="2"/>
  <c r="A40" i="2"/>
  <c r="C40" i="2" s="1"/>
  <c r="C39" i="2"/>
  <c r="A34" i="2"/>
  <c r="C34" i="2" s="1"/>
  <c r="C33" i="2"/>
  <c r="S30" i="2"/>
  <c r="T30" i="2" s="1"/>
  <c r="T31" i="2" s="1"/>
  <c r="H126" i="1"/>
  <c r="H464" i="1"/>
  <c r="H198" i="1"/>
  <c r="H199" i="1" s="1"/>
  <c r="H165" i="1"/>
  <c r="H205" i="1"/>
  <c r="H206" i="1" s="1"/>
  <c r="S33" i="2" l="1"/>
  <c r="S32" i="2"/>
  <c r="D10" i="3" l="1"/>
  <c r="D16" i="3"/>
  <c r="D22" i="3"/>
  <c r="D27" i="3"/>
  <c r="D11" i="3"/>
  <c r="D17" i="3"/>
  <c r="D23" i="3"/>
  <c r="D28" i="3"/>
  <c r="D12" i="3"/>
  <c r="D18" i="3"/>
  <c r="D24" i="3"/>
  <c r="D29" i="3"/>
  <c r="D19" i="3"/>
  <c r="D25" i="3"/>
  <c r="D30" i="3"/>
  <c r="D14" i="3"/>
  <c r="D20" i="3"/>
  <c r="D31" i="3"/>
  <c r="D15" i="3"/>
  <c r="D21" i="3"/>
  <c r="D26" i="3"/>
  <c r="U32" i="2"/>
  <c r="J35" i="2" s="1"/>
  <c r="B32" i="5" l="1"/>
  <c r="B32" i="4"/>
  <c r="B30" i="4"/>
  <c r="B30" i="5"/>
  <c r="B25" i="5"/>
  <c r="B26" i="5"/>
  <c r="B19" i="5"/>
  <c r="B12" i="5"/>
  <c r="B20" i="5"/>
  <c r="B27" i="5"/>
  <c r="B17" i="5"/>
  <c r="B18" i="5"/>
  <c r="B13" i="5"/>
  <c r="B21" i="5"/>
  <c r="B29" i="5"/>
  <c r="B15" i="5"/>
  <c r="B23" i="5"/>
  <c r="B31" i="5"/>
  <c r="B11" i="5"/>
  <c r="B28" i="5"/>
  <c r="B22" i="5"/>
  <c r="B16" i="5"/>
  <c r="B24" i="5"/>
  <c r="B31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3" i="4"/>
  <c r="B12" i="4"/>
  <c r="B11" i="4"/>
  <c r="K35" i="2"/>
  <c r="H66" i="1" l="1"/>
  <c r="C13" i="3" s="1"/>
  <c r="H552" i="1"/>
  <c r="G553" i="1" s="1"/>
  <c r="C32" i="3" l="1"/>
  <c r="B13" i="3" s="1"/>
  <c r="C14" i="4" s="1"/>
  <c r="D13" i="3"/>
  <c r="G555" i="1"/>
  <c r="E33" i="4" l="1"/>
  <c r="C14" i="5"/>
  <c r="B14" i="4"/>
  <c r="B33" i="4" s="1"/>
  <c r="B14" i="5"/>
  <c r="B33" i="5" s="1"/>
  <c r="D32" i="3"/>
  <c r="B24" i="3"/>
  <c r="C25" i="4" s="1"/>
  <c r="C25" i="5" s="1"/>
  <c r="B17" i="3"/>
  <c r="C18" i="4" s="1"/>
  <c r="C18" i="5" s="1"/>
  <c r="B31" i="3"/>
  <c r="C32" i="4" s="1"/>
  <c r="C32" i="5" s="1"/>
  <c r="B10" i="3"/>
  <c r="B19" i="3"/>
  <c r="C20" i="4" s="1"/>
  <c r="B25" i="3"/>
  <c r="C26" i="4" s="1"/>
  <c r="C26" i="5" s="1"/>
  <c r="L33" i="5" s="1"/>
  <c r="B11" i="3"/>
  <c r="C12" i="4" s="1"/>
  <c r="C12" i="5" s="1"/>
  <c r="B27" i="3"/>
  <c r="C28" i="4" s="1"/>
  <c r="C28" i="5" s="1"/>
  <c r="B22" i="3"/>
  <c r="C23" i="4" s="1"/>
  <c r="C23" i="5" s="1"/>
  <c r="B12" i="3"/>
  <c r="C13" i="4" s="1"/>
  <c r="C13" i="5" s="1"/>
  <c r="B30" i="3"/>
  <c r="C31" i="4" s="1"/>
  <c r="C31" i="5" s="1"/>
  <c r="B14" i="3"/>
  <c r="C15" i="4" s="1"/>
  <c r="B26" i="3"/>
  <c r="C27" i="4" s="1"/>
  <c r="C27" i="5" s="1"/>
  <c r="B21" i="3"/>
  <c r="C22" i="4" s="1"/>
  <c r="C22" i="5" s="1"/>
  <c r="B28" i="3"/>
  <c r="C29" i="4" s="1"/>
  <c r="C29" i="5" s="1"/>
  <c r="B23" i="3"/>
  <c r="C24" i="4" s="1"/>
  <c r="C24" i="5" s="1"/>
  <c r="B29" i="3"/>
  <c r="C30" i="4" s="1"/>
  <c r="C30" i="5" s="1"/>
  <c r="B20" i="3"/>
  <c r="C21" i="4" s="1"/>
  <c r="C21" i="5" s="1"/>
  <c r="B16" i="3"/>
  <c r="C17" i="4" s="1"/>
  <c r="B15" i="3"/>
  <c r="C16" i="4" s="1"/>
  <c r="B18" i="3"/>
  <c r="C19" i="4" s="1"/>
  <c r="C19" i="5" s="1"/>
  <c r="M33" i="5" l="1"/>
  <c r="C15" i="5"/>
  <c r="H33" i="4"/>
  <c r="I33" i="4"/>
  <c r="B32" i="3"/>
  <c r="C11" i="4"/>
  <c r="C20" i="5"/>
  <c r="D33" i="5" s="1"/>
  <c r="O33" i="4"/>
  <c r="F33" i="4"/>
  <c r="F33" i="5"/>
  <c r="E33" i="5"/>
  <c r="G33" i="5"/>
  <c r="H33" i="5"/>
  <c r="G33" i="4"/>
  <c r="C16" i="5"/>
  <c r="J33" i="5"/>
  <c r="K33" i="5"/>
  <c r="C17" i="5"/>
  <c r="L33" i="4"/>
  <c r="N33" i="4"/>
  <c r="M33" i="4"/>
  <c r="K33" i="4"/>
  <c r="J33" i="4"/>
  <c r="I33" i="5"/>
  <c r="O33" i="5" l="1"/>
  <c r="C11" i="5"/>
  <c r="C33" i="5" s="1"/>
  <c r="D33" i="4"/>
  <c r="P33" i="4" s="1"/>
  <c r="C33" i="4"/>
  <c r="A14" i="6"/>
</calcChain>
</file>

<file path=xl/comments1.xml><?xml version="1.0" encoding="utf-8"?>
<comments xmlns="http://schemas.openxmlformats.org/spreadsheetml/2006/main">
  <authors>
    <author/>
  </authors>
  <commentList>
    <comment ref="I9" authorId="0">
      <text>
        <r>
          <rPr>
            <b/>
            <sz val="9"/>
            <color indexed="8"/>
            <rFont val="Tahoma"/>
            <family val="2"/>
          </rPr>
          <t xml:space="preserve">FILTRO:
</t>
        </r>
        <r>
          <rPr>
            <sz val="9"/>
            <color indexed="8"/>
            <rFont val="Tahoma"/>
            <family val="2"/>
          </rPr>
          <t>Após a conclusão do Orçamento, utilize o filtro nessa coluna com o valor "F" para ocultar linhas não utilizadas.</t>
        </r>
      </text>
    </comment>
  </commentList>
</comments>
</file>

<file path=xl/sharedStrings.xml><?xml version="1.0" encoding="utf-8"?>
<sst xmlns="http://schemas.openxmlformats.org/spreadsheetml/2006/main" count="2381" uniqueCount="1277">
  <si>
    <t>SERVIÇOS PRELIMINARES</t>
  </si>
  <si>
    <t>01.01.00</t>
  </si>
  <si>
    <t>LIMPEZA DO TERRENO</t>
  </si>
  <si>
    <t>01.01.01</t>
  </si>
  <si>
    <t>m³</t>
  </si>
  <si>
    <t>CANTEIRO DE OBRAS</t>
  </si>
  <si>
    <t>m²</t>
  </si>
  <si>
    <t>kg</t>
  </si>
  <si>
    <t>m</t>
  </si>
  <si>
    <t>ESTRUTURAS DE CONCRETO</t>
  </si>
  <si>
    <t>PAREDES E DIVISÓRIAS</t>
  </si>
  <si>
    <t>ESQUADRIAS</t>
  </si>
  <si>
    <t>un</t>
  </si>
  <si>
    <t>COBERTURA</t>
  </si>
  <si>
    <t>REVESTIMENTO</t>
  </si>
  <si>
    <t>PAVIMENTAÇÃO</t>
  </si>
  <si>
    <t>SOLEIRAS, RODAPÉS E PEITORIS</t>
  </si>
  <si>
    <t>PINTURA</t>
  </si>
  <si>
    <t>SERVIÇOS COMPLEMENTARES</t>
  </si>
  <si>
    <t>ÁGUA FRIA</t>
  </si>
  <si>
    <t>APARELHOS E ACESSÓRIOS SANITÁRIOS</t>
  </si>
  <si>
    <t>INSTALAÇÕES DE COMBATE E PREVENÇÃO A INCÊNDIO</t>
  </si>
  <si>
    <t>Custo Total</t>
  </si>
  <si>
    <t>ITEM</t>
  </si>
  <si>
    <t>DESCRIÇÃO DOS SERVIÇOS</t>
  </si>
  <si>
    <t>UNID.</t>
  </si>
  <si>
    <t>QUANT.</t>
  </si>
  <si>
    <t>PR. UNIT.(R$)</t>
  </si>
  <si>
    <t>VALOR (R$)</t>
  </si>
  <si>
    <t>97625</t>
  </si>
  <si>
    <t>DEMOLIÇÃO DE ALV.P/ QUALQUER TIPO DE BLOCO, DE FORMA MECANIZADA</t>
  </si>
  <si>
    <t>93206</t>
  </si>
  <si>
    <t xml:space="preserve">PLACA DE IDENTIFICAÇÃO PARA OBRA </t>
  </si>
  <si>
    <t>3,00</t>
  </si>
  <si>
    <t>99059</t>
  </si>
  <si>
    <t>m/l</t>
  </si>
  <si>
    <t>LASTRO COM MATERIAL GRANULAR, APLICAÇÃO EM PISOS OU RADIERS, ESPESSURA DE 5CM</t>
  </si>
  <si>
    <t>101166</t>
  </si>
  <si>
    <t>98577</t>
  </si>
  <si>
    <t>IMPERMEABILIZAÇÃO DE SUPERFÍCIE C/ EMULSÃO ASFÁLTICA, 2 DEMÃOS AF_06/ 2018</t>
  </si>
  <si>
    <t>93187</t>
  </si>
  <si>
    <t xml:space="preserve">VERGA MOLDADA IN LOCO EM CONCRETO P/JANELAS C/MAIS DE 1,5 M DE VÃO AF03/2016 </t>
  </si>
  <si>
    <t xml:space="preserve">VERGA MOLDADA IN LOCO EM CONCRETO P/PORTAS C/MAIS DE 1,5 M DE VÃO AF03/2016 </t>
  </si>
  <si>
    <t>93189</t>
  </si>
  <si>
    <t xml:space="preserve">IMPERMEABILIZAÇÃO DE SUPERFÍCIE COM EMULSÃO ASFÁLTICA, 2 DEMÃOS AF_06/2018 </t>
  </si>
  <si>
    <t xml:space="preserve">VERGA MOLDADA IN LOCO EM CONCRETO POR TODO PERIMETRO DA EDIFICAÇÃO AF03/2016 </t>
  </si>
  <si>
    <t>VIGAS</t>
  </si>
  <si>
    <t>100774</t>
  </si>
  <si>
    <t>87878</t>
  </si>
  <si>
    <t>87884</t>
  </si>
  <si>
    <t xml:space="preserve">90408 </t>
  </si>
  <si>
    <t>TETOS</t>
  </si>
  <si>
    <t>87267</t>
  </si>
  <si>
    <t>89173</t>
  </si>
  <si>
    <t>REVESTIMENTO EXTERNO</t>
  </si>
  <si>
    <t>97631</t>
  </si>
  <si>
    <t>DEMOLIÇÃO DE ARGAMASSAS, DE FORMA MANUAL, S/ REAPROVEITAMENTO. AF_12/ 2017</t>
  </si>
  <si>
    <t>94993</t>
  </si>
  <si>
    <t>87527</t>
  </si>
  <si>
    <t>101749</t>
  </si>
  <si>
    <t xml:space="preserve">98689 </t>
  </si>
  <si>
    <t xml:space="preserve">88650 </t>
  </si>
  <si>
    <t>PINTURA EM ESQUADRIAS DE MADEIRA</t>
  </si>
  <si>
    <t xml:space="preserve">88489 </t>
  </si>
  <si>
    <t>APLICAÇÃO DE FUNDO SELADOR ACRÍLICO EM PAREDES, UMA DEMÃO. AF_06/2014 M2 C 2,59</t>
  </si>
  <si>
    <t xml:space="preserve">88485 </t>
  </si>
  <si>
    <t>88484</t>
  </si>
  <si>
    <t xml:space="preserve"> APLICAÇÃO DE FUNDO SELADOR ACRÍLICO EM TETO, UMA DEMÃO. AF_06/2014 </t>
  </si>
  <si>
    <t>ESGOTAMENTO SANITÁRIO</t>
  </si>
  <si>
    <t>INSTALAÇÕES HIDRÁULICAS, SANITÁRIAS E ÁGUAS PLUVIAIS</t>
  </si>
  <si>
    <t xml:space="preserve">DRENAGEM DE ÁGUAS PLUVIAIS </t>
  </si>
  <si>
    <t>DISJUNTOR TERMOMAGNÉTICO TRIPOLAR , CORRENTE NOMINAL DE 125A - FORNECIMENTO E INSTALAÇÃO. AF_10/2020 UN</t>
  </si>
  <si>
    <t>INTERRUPTOR SIMPLES (1 MÓDULO) COM INTERRUPTOR PARALELO (1 MÓDULO), 10 UNA/250V, INCLUINDO SUPORTE E PLACA - FORNECIMENTO E INSTALAÇÃO. AF_12/2015</t>
  </si>
  <si>
    <t>INTERRUPTOR SIMPLES (2 MÓDULOS), 10A/250V, INCLUINDO SUPORTE E PLACA FORNECIMENTO E INSTALAÇÃO. AF_12/2015</t>
  </si>
  <si>
    <t>INTERRUPTOR PARALELO (1 MÓDULO), 10A/250V, INCLUINDO SUPORTE E PLACA - FORNECIMENTO E INSTALAÇÃO. AF_12/2015</t>
  </si>
  <si>
    <t>INTERRUPTOR SIMPLES (1 MÓDULO), 10A/250V, INCLUINDO SUPORTE E PLACA - FORNECIMENTO E INSTALAÇÃO. AF_12/2015</t>
  </si>
  <si>
    <t xml:space="preserve"> DISJUNTOR TRIPOLAR TIPO NEMA, CORRENTE NOMINAL DE 10 ATÉ 50A - FORNECIMENTO E INSTALAÇÃO. AF_10/2020 </t>
  </si>
  <si>
    <t xml:space="preserve">DISJUNTOR TRIPOLAR TIPO NEMA, CORRENTE NOMINAL DE 60 ATÉ 100A - FORNECIMENTO E INSTALAÇÃO. AF_10/2020 </t>
  </si>
  <si>
    <t xml:space="preserve">LUMINÁRIA TIPO SPOT, DE SOBREPOR, COM 1 LÂMPADA FLUORESCENTE DE 15 W,SEM REATOR - FORNECIMENTO E INSTALAÇÃO. AF_02/2020 </t>
  </si>
  <si>
    <t xml:space="preserve">SENSOR DE PRESENÇA COM FOTOCÉLULA, FIXAÇÃO EM PAREDE - FORNECIMENTO E INSTALAÇÃO. AF_02/2020 </t>
  </si>
  <si>
    <t xml:space="preserve"> CAIXA RETANGULAR 4" X 2" BAIXA (0,30 M DO PISO), PVC, INSTALADA EM PAREDE - FORNECIMENTO E INSTALAÇÃO. AF_12/2015</t>
  </si>
  <si>
    <t xml:space="preserve">CABO DE COBRE FLEXÍVEL ISOLADO, 2,5 MM², ANTI-CHAMA 450/750 V, PARA CIRCUITOS TERMINAIS - FORNECIMENTO E INSTALAÇÃO. AF_12/2015 </t>
  </si>
  <si>
    <t>LAJES / FORRO GESSO ACARTONADO</t>
  </si>
  <si>
    <t xml:space="preserve">ALVENARIA </t>
  </si>
  <si>
    <t>FUNDAÇÃO ESTACAS</t>
  </si>
  <si>
    <t>FUNDAÇÃO BLOCOS</t>
  </si>
  <si>
    <t>01.00.00</t>
  </si>
  <si>
    <t>03.00.00</t>
  </si>
  <si>
    <t>03.01.00</t>
  </si>
  <si>
    <t>01.01.02</t>
  </si>
  <si>
    <t>01.01.03</t>
  </si>
  <si>
    <t>02.00.00</t>
  </si>
  <si>
    <t>03.02.00</t>
  </si>
  <si>
    <t>04.00.00</t>
  </si>
  <si>
    <t>PILARES</t>
  </si>
  <si>
    <t>04.02.01</t>
  </si>
  <si>
    <t>Subtotal item 01.00.00</t>
  </si>
  <si>
    <t>Subtotal item 02.00.00</t>
  </si>
  <si>
    <t>04.02.00</t>
  </si>
  <si>
    <t>Subtotal item 04.02.00</t>
  </si>
  <si>
    <t>04.03.00</t>
  </si>
  <si>
    <t>04.03.01</t>
  </si>
  <si>
    <t>04.03.03</t>
  </si>
  <si>
    <t>05.00.00</t>
  </si>
  <si>
    <t>05.01.00</t>
  </si>
  <si>
    <t>05.01.01</t>
  </si>
  <si>
    <t>05.01.02</t>
  </si>
  <si>
    <t>05.01.03</t>
  </si>
  <si>
    <t>05.01.04</t>
  </si>
  <si>
    <t>05.01.05</t>
  </si>
  <si>
    <t>05.01.06</t>
  </si>
  <si>
    <t>05.01.07</t>
  </si>
  <si>
    <t>06.00.00</t>
  </si>
  <si>
    <t>ESQUADRIAS DE MADEIRA</t>
  </si>
  <si>
    <t>06.01.01</t>
  </si>
  <si>
    <t>06.01.02</t>
  </si>
  <si>
    <t>07.00.00</t>
  </si>
  <si>
    <t>06.02.00</t>
  </si>
  <si>
    <t>06.02.01</t>
  </si>
  <si>
    <t>Subtotal item 06.02.00</t>
  </si>
  <si>
    <t>PORTÕES   ( PORTÃO LATERAL E ENTRADE DE FUNCIONÁRIOS )</t>
  </si>
  <si>
    <t>08.00.00</t>
  </si>
  <si>
    <t>09.01.01</t>
  </si>
  <si>
    <t>REVESTIMENTO INTERNO DE PAREDES</t>
  </si>
  <si>
    <t>REVESTIMENTOS INTERNOS EM TETOS</t>
  </si>
  <si>
    <t>10.00.00</t>
  </si>
  <si>
    <t>11.00.00</t>
  </si>
  <si>
    <t>12.00.00</t>
  </si>
  <si>
    <t xml:space="preserve">PAREDES INTERNAS </t>
  </si>
  <si>
    <t>09.00.00</t>
  </si>
  <si>
    <t>87690</t>
  </si>
  <si>
    <t>11.02.00</t>
  </si>
  <si>
    <t>11.03.00</t>
  </si>
  <si>
    <t>12.01.01</t>
  </si>
  <si>
    <t>12.01.02</t>
  </si>
  <si>
    <t>Sub-total item 12.01.00</t>
  </si>
  <si>
    <t>PAREDES EXTERNAS</t>
  </si>
  <si>
    <t>13.00.00</t>
  </si>
  <si>
    <t>13.01.01</t>
  </si>
  <si>
    <t>13.01.02</t>
  </si>
  <si>
    <t>13.01.03</t>
  </si>
  <si>
    <t>Sub-total item 13.01.00</t>
  </si>
  <si>
    <t>PORTA TOALHA ROSTO EM METAL CROMADO, TIPO ARGOLA, INCLUSO FIXAÇÃO. AF_</t>
  </si>
  <si>
    <t xml:space="preserve">PAPELEIRA DE PAREDE EM METAL CROMADO SEM TAMPA, INCLUSO FIXAÇÃO. </t>
  </si>
  <si>
    <t>14.00.00</t>
  </si>
  <si>
    <t>ELETRODUTO FLEXÍVEL CORRUGADO, PVC, DN 25 MM (3/4"), PARA CIRCUITOS TERMINAIS, INSTALADO EM PAREDE - FORNECIMENTO E INSTALAÇÃO. AF_12/2015</t>
  </si>
  <si>
    <t>02.00.00 - CANTEIRO DE OBRAS- SUBTOTAL</t>
  </si>
  <si>
    <t xml:space="preserve">FUNDAÇÕES </t>
  </si>
  <si>
    <t>INSTALAÇÕES ELÉTRICAS TELEFONICA E CABEAMENTO ESTRUTURADO</t>
  </si>
  <si>
    <t>15.00.00</t>
  </si>
  <si>
    <t>15.01.01</t>
  </si>
  <si>
    <t>15.01.02</t>
  </si>
  <si>
    <t>16.00.00</t>
  </si>
  <si>
    <t>18.00.00</t>
  </si>
  <si>
    <t xml:space="preserve">PLANTIO DE GRAMA EM PLACAS. AF_05/2018 </t>
  </si>
  <si>
    <t>LIMPEZA E ARREMATES FINAIS</t>
  </si>
  <si>
    <t>BDI</t>
  </si>
  <si>
    <t>MIN</t>
  </si>
  <si>
    <t>MED</t>
  </si>
  <si>
    <t>MAX</t>
  </si>
  <si>
    <t>Grau de Sigilo</t>
  </si>
  <si>
    <t>Construção e Reforma de Edifícios</t>
  </si>
  <si>
    <t>AC</t>
  </si>
  <si>
    <t>#PUBLICO</t>
  </si>
  <si>
    <t>SG</t>
  </si>
  <si>
    <t>R</t>
  </si>
  <si>
    <t>Nº OPERAÇÃO</t>
  </si>
  <si>
    <t>Nº SICONV</t>
  </si>
  <si>
    <t>PROPONENTE / TOMADOR</t>
  </si>
  <si>
    <t>DF</t>
  </si>
  <si>
    <t>L</t>
  </si>
  <si>
    <t>FILTRO</t>
  </si>
  <si>
    <t>BDI PAD</t>
  </si>
  <si>
    <t>Construção de Praças Urbanas, Rodovias, Ferrovias e recapeamento e pavimentação de vias urbanas</t>
  </si>
  <si>
    <t>Conforme legislação tributária municipal, definir estimativa de percentual da base de cálculo para o ISS:</t>
  </si>
  <si>
    <t>↓</t>
  </si>
  <si>
    <t>Sobre a base de cálculo, definir a respectiva alíquota do ISS (entre 2% e 5%):</t>
  </si>
  <si>
    <t>F</t>
  </si>
  <si>
    <t>Construção de Redes de Abastecimento de Água, Coleta de Esgoto</t>
  </si>
  <si>
    <t>BDI 1</t>
  </si>
  <si>
    <t>TIPO DE OBRA</t>
  </si>
  <si>
    <t>Itens</t>
  </si>
  <si>
    <t>Siglas</t>
  </si>
  <si>
    <t>% Adotado</t>
  </si>
  <si>
    <t>Situação</t>
  </si>
  <si>
    <t>1º Quartil</t>
  </si>
  <si>
    <t>Médio</t>
  </si>
  <si>
    <t>3º Quartil</t>
  </si>
  <si>
    <t>Construção e Manutenção de Estações e Redes de Distribuição de Energia Elétrica</t>
  </si>
  <si>
    <t>-</t>
  </si>
  <si>
    <t>Obras Portuárias, Marítimas e Fluviais</t>
  </si>
  <si>
    <t>Tributos (impostos COFINS 3%, e  PIS 0,65%)</t>
  </si>
  <si>
    <t>CP</t>
  </si>
  <si>
    <t>Tributos (ISS, variável de acordo com o município)</t>
  </si>
  <si>
    <t>ISS</t>
  </si>
  <si>
    <t>Tributos (Contribuição Previdenciária sobre a Receita Bruta - 0% ou 4,5% - Desoneração)</t>
  </si>
  <si>
    <t>CPRB</t>
  </si>
  <si>
    <t>BDI DES</t>
  </si>
  <si>
    <t>Fornecimento de Materiais e Equipamentos (aquisição indireta - em conjunto com licitação de obras)</t>
  </si>
  <si>
    <t>Os valores de BDI foram calculados com o emprego da fórmula:</t>
  </si>
  <si>
    <t>BDI =</t>
  </si>
  <si>
    <t xml:space="preserve"> - 1</t>
  </si>
  <si>
    <t>(1-CP-ISS-CRPB)</t>
  </si>
  <si>
    <t>Fornecimento de Materiais e Equipamentos (aquisição direta)</t>
  </si>
  <si>
    <t>Observações:</t>
  </si>
  <si>
    <t>Estudos e Projetos, Planos e Gerenciamento e outros correlatos</t>
  </si>
  <si>
    <t>K1</t>
  </si>
  <si>
    <t>K2</t>
  </si>
  <si>
    <t>Local</t>
  </si>
  <si>
    <t>Data</t>
  </si>
  <si>
    <t>K3</t>
  </si>
  <si>
    <t>Responsável Técnico</t>
  </si>
  <si>
    <t>Nome:</t>
  </si>
  <si>
    <t>CREA/CAU:</t>
  </si>
  <si>
    <t>ART/RRT:</t>
  </si>
  <si>
    <t xml:space="preserve">ITENS </t>
  </si>
  <si>
    <t>%</t>
  </si>
  <si>
    <t>SEM BDI</t>
  </si>
  <si>
    <t>COM BDI</t>
  </si>
  <si>
    <t>TOTAL</t>
  </si>
  <si>
    <t>MÊS 1</t>
  </si>
  <si>
    <t>MÊS 2</t>
  </si>
  <si>
    <t>MÊS 3</t>
  </si>
  <si>
    <t>MÊS 4</t>
  </si>
  <si>
    <t>MÊS 5</t>
  </si>
  <si>
    <t>MÊS 6</t>
  </si>
  <si>
    <t>OBRA : UNIFACEF - CONSTRUÇÃO DE AMBULATÓRIO ESCOLA E OUTROS - FRANCA - SP</t>
  </si>
  <si>
    <t>PROPRIETÁRIO : PREFEITURA MUNICIPAL DE FRANCA</t>
  </si>
  <si>
    <t>ENDERÇO :     RUA VICENTE GRAMANI ESQUINA COM A RUA PROF.ª AMÁLIA PIMENTEL</t>
  </si>
  <si>
    <t>160,00</t>
  </si>
  <si>
    <t>12,32</t>
  </si>
  <si>
    <t>4,00</t>
  </si>
  <si>
    <t>MOVIMENTO DE TERRA</t>
  </si>
  <si>
    <t>ESCAVAÇÃO, CARGA E TRANSPORTE EM SOLO DE 1ª CATEGORIA, UTILIZANDO TRATOR SOBRE ESTEIRAS E PÁ-CARREGADEIRA SOBRE PNEUS</t>
  </si>
  <si>
    <t>REATERRO MECANIZADO DE VALA COM ESCAVADEIRA HIDRÁULICA (CAPACIDADE DA CAÇAMBA: 0,8 M³ / POTÊNCIA: 111 HP), LARGURA ATÉ 1,5 M, PROFUNDIDADE DE 3,0 A 4,5 M, COM SOLO DE 1ª CATEGORIA EM LOCAIS COM BAIXO NÍVEL DE INTERFERÊNCIA. AF_04/2016</t>
  </si>
  <si>
    <t>ARMAÇÃO DE BLOCO, VIGA BALDRAME OU SAPATA UTILIZANDO AÇO CA-50 DE 10 MM - MONTAGEM. AF_06/2017</t>
  </si>
  <si>
    <t>ARMAÇÃO DE BLOCO, VIGA BALDRAME OU SAPATA UTILIZANDO AÇO CA-60 DE 5 MM - MONTAGEM. AF_06/2017</t>
  </si>
  <si>
    <t>ARMAÇÃO DE BLOCO, VIGA BALDRAME OU SAPATA UTILIZANDO AÇO CA-50 DE 6,3 MM - MONTAGEM. AF_06/2017</t>
  </si>
  <si>
    <t>ARMAÇÃO DE BLOCO, VIGA BALDRAME OU SAPATA UTILIZANDO AÇO CA-50 DE 12,5 MM - MONTAGEM. AF_06/2017</t>
  </si>
  <si>
    <t>ARMAÇÃO DE BLOCO, VIGA BALDRAME OU SAPATA UTILIZANDO AÇO CA-50 DE 16 MM - MONTAGEM. AF_06/2017</t>
  </si>
  <si>
    <t>FABRICAÇÃO, MONTAGEM E DESMONTAGEM DE FÔRMA PARA BLOCO DE COROAMENTO, EM MADEIRA SERRADA, E=25 MM, 4 UTILIZAÇÕES. AF_06/2017</t>
  </si>
  <si>
    <t>ESCAVAÇÃO MANUAL PARA BLOCO DE COROAMENTO OU SAPATA, COM PREVISÃO DE FÔRMA. AF_06/2017</t>
  </si>
  <si>
    <t>ESCAVAÇÃO MANUAL DE VALA PARA VIGA BALDRAME (INCLUINDO ESCAVAÇÃO PARA COLOCAÇÃO DE FÔRMAS). AF_06/2017</t>
  </si>
  <si>
    <t>IMPERMEABILIZAÇÃO DE FLOREIRA OU VIGA BALDRAME COM ARGAMASSA DE CIMENTO E AREIA , COM ADITIVO IMPERMEABILIZANTE, E = 2 CM. AF_06/2018</t>
  </si>
  <si>
    <t>ARMAÇÃO DE BLOCO, VIGA BALDRAME OU SAPATA UTILIZANDO AÇO CA-50 DE 8,0 MM - MONTAGEM. AF_06/2017</t>
  </si>
  <si>
    <t>FABRICAÇÃO, MONTAGEM E DESMONTAGEM DE FÔRMA PARA VIGA BALDRAME E PILARES, EM MADEIRA SERRADA, E=25 MM, 2 UTILIZAÇÕES. AF_06/2017</t>
  </si>
  <si>
    <t>FUNDAÇÕES BALDRAME / MURO DE ARRIMO / CORTINAS DE CONTENÇÃO</t>
  </si>
  <si>
    <t>15</t>
  </si>
  <si>
    <t>ARMAÇÃO DE PILAR OU VIGA DE UMA ESTRUTURA CONVENCIONAL DE CONCRETO ARM UTILIZANDO AÇO CA-60 DE 5 MM - MONTAGEM. AF_06/2017</t>
  </si>
  <si>
    <t>ARMAÇÃO DE PILAR OU VIGA DE UMA ESTRUTURA CONVENCIONAL DE CONCRETO ARM UTILIZANDO AÇO CA-50 DE 6,3 MM - MONTAGEM. AF_06/2017</t>
  </si>
  <si>
    <t>ARMAÇÃO DE PILAR OU VIGA DE UMA ESTRUTURA CONVENCIONAL DE CONCRETO ARM UTILIZANDO AÇO CA-50 DE 8,0 MM - MONTAGEM. AF_06/2017</t>
  </si>
  <si>
    <t>ARMAÇÃO DE PILAR OU VIGA DE UMA ESTRUTURA CONVENCIONAL DE CONCRETO ARM UTILIZANDO AÇO CA-50 DE 10 MM - MONTAGEM. AF_06/2017</t>
  </si>
  <si>
    <t>ARMAÇÃO DE PILAR OU VIGA DE UMA ESTRUTURA CONVENCIONAL DE CONCRETO ARM UTILIZANDO AÇO CA-50 DE 12,5 MM - MONTAGEM. AF_06/2017</t>
  </si>
  <si>
    <t>ARMAÇÃO DE PILAR OU VIGA DE UMA ESTRUTURA CONVENCIONAL DE CONCRETO ARM UTILIZANDO AÇO CA-50 DE 16 MM - MONTAGEM. AF_06/2017</t>
  </si>
  <si>
    <t>MONTAGEM E DESMONTAGEM DE FÔRMA DE PILARES RETANGULARES E ESTRUTURAS SIMILARES, PÉ-DIREITO DUPLO, EM CHAPA DE MADEIRA COMPENSADA RESINADA 2 UTILIZAÇÕES. AF_09/2020</t>
  </si>
  <si>
    <t>MONTAGEM E DESMONTAGEM DE FÔRMA DE VIGA, ESCORAMENTO COM GARFO DE MADEIRA, PÉ-DIREITO DUPLO, EM CHAPA DE MADEIRA RESINADA, 2  UTILIZAÇÕES. AF_09/2020</t>
  </si>
  <si>
    <t>MONTAGEM E DESMONTAGEM DE FÔRMA DE LAJE MACIÇA, PÉ-DIREITO SIMPLES, EM MADEIRA SERRADA, 2 UTILIZAÇÕES. AF_09/2020</t>
  </si>
  <si>
    <t>ARMAÇÃO DE LAJE DE UMA ESTRUTURA CONVENCIONAL DE CONCRETO ARM UTILIZANDO AÇO CA-60 DE 5 MM - MONTAGEM. AF_06/2017</t>
  </si>
  <si>
    <t>ARMAÇÃO DE LAJE DE UMA ESTRUTURA CONVENCIONAL DE CONCRETO ARM UTILIZANDO AÇO CA-50 DE 6,3 MM - MONTAGEM. AF_06/2017</t>
  </si>
  <si>
    <t>ARMAÇÃO DE LAJE DE UMA ESTRUTURA CONVENCIONAL DE CONCRETO ARM UTILIZANDO AÇO CA-50 DE 8,0 MM - MONTAGEM. AF_06/2017</t>
  </si>
  <si>
    <t>ARMAÇÃO DE LAJE DE UMA ESTRUTURA CONVENCIONAL DE CONCRETO ARM UTILIZANDO AÇO CA-50 DE 10 MM - MONTAGEM. AF_06/2017</t>
  </si>
  <si>
    <t>ARMAÇÃO DE LAJE DE UMA ESTRUTURA CONVENCIONAL DE CONCRETO ARM UTILIZANDO AÇO CA-50 DE 12,5 MM - MONTAGEM. AF_06/2017</t>
  </si>
  <si>
    <t>LAJE EM PAINEL PRÉ-FABRICADO PROTENDIDO ALVEOLAR, ESPESSURA 30 CM, FORNECIMENTO E TRANSPORTE</t>
  </si>
  <si>
    <t>96359</t>
  </si>
  <si>
    <t>PAREDE COM PLACAS DE GESSO ACARTONADO (DRYWALL), PARA USO INTERNO, COM DUAS FACES SIMPLES E ESTRUTURA METÁLICA COM GUIAS SIMPLES, COM VÃOS AF_06/2017_P</t>
  </si>
  <si>
    <t>103341</t>
  </si>
  <si>
    <t>BATENTE PARA PORTA DE MADEIRA, FIXAÇÃO COM ARGAMASSA, PADRÃO MÉDIO - FORNECIMENTO E INSTALAÇÃO. AF_12/2019_P</t>
  </si>
  <si>
    <t>PORTA DE MADEIRA PARA PINTURA, SEMI-OCA (LEVE OU MÉDIA), 70X210CM, ESPESSURA DE 3,5CM, INCLUSO DOBRADIÇAS - FORNECIMENTO E INSTALAÇÃO. AF_12/2019</t>
  </si>
  <si>
    <t>PORTA DE MADEIRA PARA PINTURA, SEMI-OCA (LEVE OU MÉDIA), 90X210CM, ESP. DE 3,5CM, INCLUSO DOBRADIÇAS - FORNECIMENTO E INSTALAÇÃO. AF_12/2019</t>
  </si>
  <si>
    <t>PORTA DE MADEIRA PARA PINTURA, SEMI-OCA (LEVE OU MÉDIA), 80X210CM, ESPESSURA DE 3,5CM, INCLUSO DOBRADIÇAS - FORNECIMENTO E INSTALAÇÃO. AF_12/2019</t>
  </si>
  <si>
    <t>PORTA CORTA-FOGO 90X210X4CM - FORNECIMENTO E INSTALAÇÃO. AF_12/2019</t>
  </si>
  <si>
    <t>PORTA CORRER DE VIDRO TEMPERADO, 4 FOLHAS DE 0,90X210 CM, ESPESSURA DE 10MM, INCLUSIVE ACESSÓRIOS.</t>
  </si>
  <si>
    <t>PORTA CORRER DE VIDRO TEMPERADO, 1 FOLHA DE 2,50X210 CM, ESPESSURA DE 10MM, INCLUSIVE ACESSÓRIOS.</t>
  </si>
  <si>
    <t>PORTA CORRER DE VIDRO TEMPERADO, 1 FOLHAS DE 1,20X210 CM, ESPESSURA DE 10MM, INCLUSIVE ACESSÓRIOS.</t>
  </si>
  <si>
    <t>PORTA PIVOTANTE DE VIDRO TEMPERADO, 2 FOLHAS DE 1,25X210 CM, ESPESSURA DE 10MM, INCLUSIVE ACESSÓRIOS.</t>
  </si>
  <si>
    <t>JANELA DE VIDRO TEMPERADO FIXO 2,50MX1,10M E=6MM</t>
  </si>
  <si>
    <t>PORTAO DE ALUMÍNIO DE ABRIR COM LAMBRI, COM GUARNIÇÃO, FIXAÇÃO C/ PARAFUSOS  - FORNECIMENTO E INSTALAÇÃO. AF_12/2019</t>
  </si>
  <si>
    <t>ESTRUTURA TRELIÇADA DE COBERTURA,COM LIGAÇÕES SOLDADAS, INCLUSOS  PERFIS METÁLICOS, CHAPAS METÁLICAS EM AÇO ASTM-A36 / SAE 1045 , MÃO DE OBRA E TRANSPORTE COM GUINDASTE - FORNECIMENTO E INSTALAÇÃO. AF_01/2020_P</t>
  </si>
  <si>
    <t>CHAPISCO APLICADO EM ALVENARIAS E ESTRUTURAS DE CONCRETO INTERNAS, COLHER DE PEDREIRO. ARGAM, TRAÇO 1:3 COM PREPARO MANUAL. AF_06/2014</t>
  </si>
  <si>
    <t xml:space="preserve">EMBOÇO/MASSA ÚNICA, APLICADO MANUALMENTE, TRAÇO 1:2:8, EM BETONEIRA DE 400L,  PAREDES INTERNAS, COM E EXECUÇÃO DE UNIFAMILIAR (CASAS) E  DIFICAÇÃO PÚBLICA PADRÃO. AF_12/2014 TALISCAS, EDIFICAÇÃO HABITACIONAL </t>
  </si>
  <si>
    <t>REVESTIMENTO CERÂMICO PARA PAREDES INTERNAS COM PLACAS TIPO ESMALTADA EXTRA DE DIMENSÕES 20X20 CM APLICADAS EM AMBIENTES DE ÁREA MAIOR QUE 5 M² A MEIA ALTURA DAS PAREDES. AF_06/2014</t>
  </si>
  <si>
    <t>88489</t>
  </si>
  <si>
    <t>MASSA ÚNICA,PARA RECEBIMENTO DE PINTURA,EM ARGAMASSA TRAÇO 1:2:8, PREPARO MECÂNICO COM BETONEIRA 400L, APLICADA MANUALMENTE EM TETO, ESPESSURA DE 10MM, COM EXECUÇÃO DE TALISCAS. AF_03/2015</t>
  </si>
  <si>
    <t>APLICAÇÃO MANUAL DE PINTURA COM TINTA LÁTEX ACRÍLICA EM TETO, DUAS DEMÃOS. AF_06/2014</t>
  </si>
  <si>
    <t>88488</t>
  </si>
  <si>
    <t>CHAPISCO APLICADO NO TETO, COM ROLO PARA TEXTURA ACRÍLICA. ARGAMASSA INDUSTRIALIZADA COM PREPARO MANUAL. AF_06/2014</t>
  </si>
  <si>
    <t>REVESTIMENTOS INTERNOS EM PISOS</t>
  </si>
  <si>
    <t>REVESTIMENTO CERÂMICO PARA PISO COM PLACAS TIPO PORCELANATO DE DIMENSÕES 45X45 CM APLICADA EM AMBIENTES DE ÁREA MAIOR QUE 10 M². AF_06/2014</t>
  </si>
  <si>
    <t>87260</t>
  </si>
  <si>
    <t>PINTURA COM TINTA EPOXÍDICA DE FUNDO PULVERIZADA SOBRE PERFIL METÁLICO EXECUTADO EM FÁBRICA (POR DEMÃO). AF_01/2020_P</t>
  </si>
  <si>
    <t>100727</t>
  </si>
  <si>
    <t>REVESTIMENTO EXTERNO DE PAREDES FACHADAS</t>
  </si>
  <si>
    <t>88411</t>
  </si>
  <si>
    <t>APLICAÇÃO MANUAL DE FUNDO SELADOR ACRÍLICO EM PANOS COM PRESENÇA DE VÃOS DE EDIFÍCIOS DE MÚLTIPLOS PAVIMENTOS. AF_06/2014</t>
  </si>
  <si>
    <t>APLICAÇÃO MANUAL DE PINTURA COM TINTA LÁTEX ACRÍLICA EM PAREDES, DUAS DEMÃOS. AF_06/2014</t>
  </si>
  <si>
    <t xml:space="preserve"> CONTRAPISO EM ARGAMASSA TRAÇO 1:4 (CIMENTO E AREIA), PREPARO MECÂNICO COM BETONEIRA 400 L, APLICADO EM ÁREAS SECAS SOBRE LAJE, NÃO ADERIDO, ESPESSURA 5CM. AF_06/2014</t>
  </si>
  <si>
    <t>101094</t>
  </si>
  <si>
    <t>PISO PODOTÁTIL, DIRECIONAL OU ALERTA, ASSENTADO SOBRE ARGAMASSA. AF_05/2020</t>
  </si>
  <si>
    <t>EXECUÇÃO DE PASSEIO (CALÇADA) OU PISO DE CONCR. COM CONCRETO MOLDADO IN LOCO,  USINADO, ACABAMENTO CONVENC., ESPESSURA 6 CM, ARMADO. AF_07/2016</t>
  </si>
  <si>
    <t>PISO CIMENTADO, TRAÇO 1:3 (CIMENTO E AREIA), ACABAMENTO LISO, ESPESSURA 4,0 CM, PREPARO MECÂNICO DA ARGAMASSA. AF_09/2020 (PASSARELAS)</t>
  </si>
  <si>
    <t>PINTURA VERNIZ (INCOLOR) ALQUÍDICO EM MADEIRA, USO INTERNO E EXTERNO, 2 DEMÃOS. AF_01/2021</t>
  </si>
  <si>
    <t>102213</t>
  </si>
  <si>
    <t>PINTURA PARA METAL</t>
  </si>
  <si>
    <t>PINTURA COM TINTA ACRÍLICA DE ACABAMENTO APLICADA A ROLO OU PINCEL SOBRE SUPERFÍCIES METÁLICAS (EXCETO PERFIL) EXECUTADO EM OBRA (POR DEMÃO). AF_01/2020</t>
  </si>
  <si>
    <t>100736</t>
  </si>
  <si>
    <t>PINTURA COM TINTA ALQUÍDICA DE FUNDO (TIPO ZARCÃO) APLICADA A ROLO OU PINCEL SOBRE PERFIL METÁLICO EXECUTADO EM FÁBRICA (POR DEMÃO). AF_01/2020</t>
  </si>
  <si>
    <t>100720</t>
  </si>
  <si>
    <t>TUBO, PVC, SOLDÁVEL, DE 25 MM, INST. EM RESERVAÇÃO DE ÁGUA DE EDIFICAÇÃO QUE POSSUA RESERVATÓRIO DE FIBRA/FIBROCIMENTO FORNECIMENTO E INSTALAÇÃO. AF_06/2016</t>
  </si>
  <si>
    <t>TUBO, PVC, SOLDÁVEL, DE 32 MM, INST. EM RESERVAÇÃO DE ÁGUA DE EDIFICAÇÃO QUE POSSUA RESERVATÓRIO DE FIBRA/FIBROCIMENTO FORNECIMENTO E INSTALAÇÃO. AF_06/2016</t>
  </si>
  <si>
    <t>TUBO, PVC, SOLDÁVEL, DE 40 MM, INST. EM RESERVAÇÃO DE ÁGUA DE EDIFICAÇÃO QUE POSSUA RESERVATÓRIO DE FIBRA/FIBROCIMENTO FORNECIMENTO E INSTALAÇÃO. AF_06/2016</t>
  </si>
  <si>
    <t>TUBO, PVC, SOLDÁVEL, DE 50 MM, INST. EM RESERVAÇÃO DE ÁGUA DE EDIFICAÇÃO QUE POSSUA RESERVATÓRIO DE FIBRA/FIBROCIMENTO FORNECIMENTO E INSTALAÇÃO. AF_06/2016</t>
  </si>
  <si>
    <t>TUBO DE AÇO GALVANIZADO COM COSTURA, CLASSE MÉDIA, DN 32 (1 1/4"), CONEXÃO ROSQUEADA, INSTALADO EM REDE DE ALIMENTAÇÃO - FORNECIMENTO E INSTALAÇÃO. AF_10/2020</t>
  </si>
  <si>
    <t>TUBO DE AÇO GALVANIZADO COM COSTURA, CLASSE MÉDIA, DN 40 (1 1/2"), CONEXÃO ROSQUEADA, INSTALADO EM REDE DE ALIMENTAÇÃO - FORNECIMENTO E INSTALAÇÃO. AF_10/2020</t>
  </si>
  <si>
    <t>TUBO DE AÇO GALVANIZADO COM COSTURA, CLASSE MÉDIA, DN 50 (2"), CONEXÃO ROSQUEADA, INSTALADO EM PRUMADAS - FORNECIMENTO E INSTALAÇÃO. AF_10/2020</t>
  </si>
  <si>
    <t>TUBO, PVC, SOLDÁVEL, DE 60 MM, INST. EM RESERVAÇÃO DE ÁGUA DE EDIFICAÇÃO QUE POSSUA RESERVATÓRIO DE FIBRA/FIBROCIMENTO FORNECIMENTO E INSTALAÇÃO. AF_06/2016</t>
  </si>
  <si>
    <t xml:space="preserve">CURVA 90º FOGO 1" </t>
  </si>
  <si>
    <t xml:space="preserve">CURVA 90º FOGO 1 1/4" </t>
  </si>
  <si>
    <t xml:space="preserve">CURVA 90º FOGO 2" </t>
  </si>
  <si>
    <t xml:space="preserve">TE FOGO 1" </t>
  </si>
  <si>
    <t xml:space="preserve">TE FOGO 1 1/4" </t>
  </si>
  <si>
    <t xml:space="preserve">TE FOGO 2" </t>
  </si>
  <si>
    <t>ADAPTADOR CURTO COM BOLSA E ROSCA PARA REGISTRO, PVC, SOLDÁVEL, DN 32MM X 1, INSTALADO EM RAMAL OU SUB-RAMAL DE ÁGUA - FORNECIMENTO E INSTALAÇÃO. AF_12/2014</t>
  </si>
  <si>
    <t>ADAPTADOR CURTO COM BOLSA E ROSCA PARA REGISTRO, PVC, SOLDÁVEL, DN 60MM X 2, INSTALADO EM PRUMADA DE ÁGUA - FORNECIMENTO E INSTALAÇÃO. AF_12/2014</t>
  </si>
  <si>
    <t>ADAPTADOR CURTO COM BOLSA E ROSCA PARA REGISTRO, PVC, SOLDÁVEL, DN 25M M X 3/4, INSTALADO EM RAMAL OU SUB-RAMAL DE ÁGUA - FORNECIMENTO E INSTALAÇÃO. AF_12/2014</t>
  </si>
  <si>
    <t>BUCHA PVC DE REDUCAO 50X40MM SOLDAVEL - AF</t>
  </si>
  <si>
    <t>BUCHA PVC DE REDUCAO 60X50MM SOLDAVEL - AF</t>
  </si>
  <si>
    <t>CURVA 90 GRAUS, PVC, SOLDÁVEL, DN 32 MM, INSTALADO EM RESERVAÇÃO DE ÁGUA DE EDIFICAÇÃO QUE POSSUA RESERVATÓRIO DE FIBRA/FIBROCIMENTO FORNECIMENTO E INSTALAÇÃO. AF_06/2016</t>
  </si>
  <si>
    <t>CURVA 90 GRAUS, PVC, SOLDÁVEL, DN 40 MM, INSTALADO EM RESERVAÇÃO DE ÁGUA DE EDIFICAÇÃO QUE POSSUA RESERVATÓRIO DE FIBRA/FIBROCIMENTO FORNECIMENTO E INSTALAÇÃO. AF_06/2016</t>
  </si>
  <si>
    <t>TE PVC 40MM - AF</t>
  </si>
  <si>
    <t>TÊ DE REDUÇÃO, PVC, SOLDÁVEL, DN 50MM X 40MM, INSTALADO EM PRUMADA DE ÁGUA - FORNECIMENTO E INSTALAÇÃO. AF_12/2014</t>
  </si>
  <si>
    <t>TE PVC 60MM - AF</t>
  </si>
  <si>
    <t>REGISTRO DE GAVETA BRUTO, LATÃO, ROSCÁVEL, 2" - FORNECIMENTO E INSTALAÇÃO. AF_08/2021</t>
  </si>
  <si>
    <t>KIT CAVALETE PARA MEDIÇÃO DE ÁGUA - ENTRADA PRINCIPAL, EM AÇO GALVANIZADO DN 32 (1") FORNECIMENTO E INSTALAÇÃO (EXCLUSIVE HIDRÔMETRO). AF_11/2016</t>
  </si>
  <si>
    <t>ADAPTADOR CURTO COM BOLSA E ROSCA P/ REGISTRO, PVC, SOLDÁVEL, DN 40MM x 1 1/4 , INSTALADO EM RAMAL OU SUB-RAMAL DE ÁGUA - FORNECIMENTO E INSTALAÇÃO</t>
  </si>
  <si>
    <t>ADAPTADOR CURTO COM BOLSA E ROSCA P/ REGISTRO, PVC, SOLDÁVEL, DN 50MM x 1 1/2 , INSTALADO EM RAMAL OU SUB-RAMAL DE ÁGUA - FORNECIMENTO E INSTALAÇÃO</t>
  </si>
  <si>
    <t>LUVA COM BUCHA DE LATÃO, PVC, SOLDÁVEL, DN 20MM X 3/4, INSTALADO EM RAMAL OU SUB-RAMAL DE ÁGUA - FORNECIMENTO E INSTALAÇÃO. AF_12/2014</t>
  </si>
  <si>
    <t>JOELHO 90 GRAUS COM BUCHA DE LATÃO, PVC, SOLDÁVEL, DN 25MM, X 1/2 INSTALADO EM RAMAL OU SUB-RAMAL DE ÁGUA - FORNECIMENTO E INSTALAÇÃO. AF_12/2014</t>
  </si>
  <si>
    <t>JOELHO 90 GRAUS, PVC, SOLDÁVEL, DN 25MM, INSTALADO EM RAMAL OU SUB-RAM UN CR 10,05
AL DE ÁGUA - FORNECIMENTO E INSTALAÇÃO. AF_12/2014</t>
  </si>
  <si>
    <t>JOELHO 45 GRAUS, PVC, SOLDÁVEL, DN 25MM, INSTALADO EM RAMAL OU SUB-RAMAL DE ÁGUA - FORNECIMENTO E INSTALAÇÃO. AF_12/2014</t>
  </si>
  <si>
    <t>JOELHO 90 GRAUS, PVC, SOLDÁVEL, DN 32MM, INSTALADO EM RAMAL OU SUB-RAMAL DE ÁGUA - FORNECIMENTO E INSTALAÇÃO. AF_12/2014</t>
  </si>
  <si>
    <t>BUCHA PVC DE REDUCAO 32X25MM SOLDAVEL - AF</t>
  </si>
  <si>
    <t>BUCHA PVC DE REDUCAO 40X32MM SOLDAVEL - AF</t>
  </si>
  <si>
    <t>TÊ, PVC, SOLDÁVEL, DN 25 MM INSTALADO EM RESERVAÇÃO DE ÁGUA DE EDIFICAÇÃO QUE POSSUA RESERVATÓRIO DE FIBRA/FIBROCIMENTO FORNECIMENTO E INSTALAÇÃO. AF_06/2016</t>
  </si>
  <si>
    <t>TÊ, PVC, SOLDÁVEL, DN 32 MM INSTALADO EM RESERVAÇÃO DE ÁGUA DE EDIFICAÇÃO QUE POSSUA RESERVATÓRIO DE FIBRA/FIBROCIMENTO FORNECIMENTO E INSTALAÇÃO. AF_06/2016</t>
  </si>
  <si>
    <t>TÊ, PVC, SOLDÁVEL, DN 40 MM INSTALADO EM RESERVAÇÃO DE ÁGUA DE EDIFICA UN CR 28,79
ÇÃO QUE POSSUA RESERVATÓRIO DE FIBRA/FIBROCIMENTO FORNECIMENTO E INS
TALAÇÃO. AF_06/2016</t>
  </si>
  <si>
    <t>TÊ DE REDUÇÃO, PVC, SOLDÁVEL, DN 32MM X 25MM, INSTALADO EM RAMAL OU SUB-RAMAL DE ÁGUA - FORNECIMENTO E INSTALAÇÃO. AF_12/2014</t>
  </si>
  <si>
    <t>TÊ COM BUCHA DE LATÃO NA BOLSA CENTRAL, PVC, SOLDÁVEL, DN 25MM X 1/2, INSTALADO EM RAMAL OU SUB-RAMAL DE ÁGUA - FORNECIMENTO E INSTALAÇÃO.</t>
  </si>
  <si>
    <t>REGISTRO DE GAVETA CROMADO COM CANOPLA 3/4"</t>
  </si>
  <si>
    <t>REGISTRO DE GAVETA CROMADO COM CANOPLA 1"</t>
  </si>
  <si>
    <t>REGISTRO DE GAVETA BRUTO, LATÃO, ROSCÁVEL, 1 1/4" - FORNECIMENTO E INSTALAÇÃO. AF_08/2021</t>
  </si>
  <si>
    <t>REGISTRO DE GAVETA BRUTO, LATÃO, ROSCÁVEL, 1 1/2" - FORNECIMENTO E INSTALAÇÃO. AF_08/2021</t>
  </si>
  <si>
    <t>REGISTRO DE PRESSAO CROMADO 3/4" COM CANOPLA</t>
  </si>
  <si>
    <t>TUBO PVC, SERIE NORMAL, ESGOTO PREDIAL, DN 40 MM, FORNECIDO E INSTALADO EM RAMAL DE DESCARGA OU RAMAL DE ESGOTO SANITÁRIO. AF_12/2014</t>
  </si>
  <si>
    <t xml:space="preserve">TUBO PVC, SERIE NORMAL, ESGOTO PREDIAL, DN 50 MM, FORNECIDO E INSTALADO EM RAMAL DE DESCARGA OU RAMAL DE ESGOTO SANITÁRIO. AF_12/2014 </t>
  </si>
  <si>
    <t xml:space="preserve"> TUBO PVC, SERIE NORMAL, ESGOTO PREDIAL, DN 100 MM, FORNECIDO E INSTALADO EM RAMAL DE DESCARGA OU RAMAL DE ESGOTO SANITÁRIO. AF_12/2014 </t>
  </si>
  <si>
    <t>TUBO PVC, SERIE NORMAL, ESGOTO PREDIAL, DN 75 MM, FORNECIDO E INSTALADO EM RAMAL DE DESCARGA OU RAMAL DE ESGOTO SANITÁRIO. AF_12/2014</t>
  </si>
  <si>
    <t>TUBO PVC, SÉRIE R, ÁGUA PLUVIAL, DN 100 MM, FORNECIDO E INSTALADO EM R M CR 82,78
AMAL DE ENCAMINHAMENTO. AF_12/2014</t>
  </si>
  <si>
    <t>TUBO PVC, SÉRIE R, ÁGUA PLUVIAL, DN 100 MM, FORNECIDO E INSTALADO EM RAMAL DE ENCAMINHAMENTO. AF_12/2014</t>
  </si>
  <si>
    <t>CAIXA DE GORDURA SIMPLES, CIRCULAR, EM CONCRETO PRÉ-MOLDADO, DIÂMETRO INTERNO = 0,4 M, ALTURA INTERNA = 0,4 M. AF_12/2020</t>
  </si>
  <si>
    <t>JOELHO 45 GRAUS, PVC, SERIE R, ÁGUA PLUVIAL, DN 100 MM, JUNTA ELÁSTICA, FORNECIDO E INSTALADO EM RAMAL DE ENCAMINHAMENTO. AF_12/2014</t>
  </si>
  <si>
    <t>LUVA SIMPLES, PVC, SERIE R, ÁGUA PLUVIAL, DN 100 MM, JUNTA ELÁSTICA, FORNECIDO E INSTALADO EM RAMAL DE ENCAMINHAMENTO. AF_12/2014</t>
  </si>
  <si>
    <t>VÁLVULA EM METAL CROMADO TIPO AMERICANA 3.1/2 X 1.1/2 PARA PIA - FORNECIMENTO E INSTALAÇÃO. AF_01/2020</t>
  </si>
  <si>
    <t>BUCHA DE REDUÇÃO LONGA, PVC, SERIE R, ÁGUA PLUVIAL, DN 50 X 40 MM, JUNTA ELÁSTICA, FORNECIDO E INSTALADO EM RAMAL DE ENCAMINHAMENTO. AF_12/2014</t>
  </si>
  <si>
    <t>CAIXA SIFONADA, PVC, DN 100 X 100 X 50 MM, JUNTA ELÁSTICA, FORNECIDA E INSTALADA EM RAMAL DE DESCARGA OU EM RAMAL DE ESGOTO SANITÁRIO. AF_12/2014</t>
  </si>
  <si>
    <t>CURVA 87 GRAUS E 30 MINUTOS, PVC, SERIE R, ÁGUA PLUVIAL, DN 100 MM, JUNTA ELÁSTICA, FORNECIDO E INSTALADO EM RAMAL DE ENCAMINHAMENTO. AF_12/2014</t>
  </si>
  <si>
    <t>CURVA CURTA 90 GRAUS, PVC, SERIE NORMAL, ESGOTO PREDIAL, DN 100 MM, JUNTA ELÁSTICA, FORNECIDO E INSTALADO EM RAMAL DE DESCARGA OU RAMAL DE ESGOTO SANITÁRIO. AF_12/2014</t>
  </si>
  <si>
    <t>JOELHO 45 GRAUS, PVC, SERIE NORMAL, ESGOTO PREDIAL, DN 40 MM, JUNTA SOLDÁVEL, FORNECIDO E INSTALADO EM RAMAL DE DESCARGA OU RAMAL DE ESGOTO SANITÁRIO. AF_12/2014</t>
  </si>
  <si>
    <t>JOELHO 45 GRAUS, PVC, SERIE NORMAL, ESGOTO PREDIAL, DN 50 MM, JUNTA ELÁSTICA, FORNECIDO E INSTALADO EM RAMAL DE DESCARGA OU RAMAL DE ESGOTOSANITÁRIO. AF_12/2014</t>
  </si>
  <si>
    <t>JOELHO 45 GRAUS, PVC, SERIE NORMAL, ESGOTO PREDIAL, DN 75 MM, JUNTA ELÁSTICA, FORNECIDO E INSTALADO EM RAMAL DE DESCARGA OU RAMAL DE ESGOTO SANITÁRIO. AF_12/2014</t>
  </si>
  <si>
    <t>JOELHO 45 GRAUS, PVC, SERIE NORMAL, ESGOTO PREDIAL, DN 100 MM, JUNTA ELÁSTICA, FORNECIDO E INSTALADO EM RAMAL DE DESCARGA OU RAMAL DE ESGOTO SANITÁRIO. AF_12/2014</t>
  </si>
  <si>
    <t>JOELHO 90 GRAUS, PVC, SERIE NORMAL, ESGOTO PREDIAL, DN 40 MM, JUNTA SOLDÁVEL, FORNECIDO E INSTALADO EM RAMAL DE DESCARGA OU RAMAL DE ESGOTO SANITÁRIO. AF_12/2014</t>
  </si>
  <si>
    <t>JOELHO 90 GRAUS, PVC, SERIE NORMAL, ESGOTO PREDIAL, DN 50 MM, JUNTA ELÁSTICA, FORNECIDO E INSTALADO EM RAMAL DE DESCARGA OU RAMAL DE ESGOTO SANITÁRIO. AF_12/2014</t>
  </si>
  <si>
    <t>JOELHO 90 GRAUS, PVC, SERIE NORMAL, ESGOTO PREDIAL, DN 75 MM, JUNTA ELÁSTICA, FORNECIDO E INSTALADO EM RAMAL DE DESCARGA OU RAMAL DE ESGOTO SANITÁRIO. AF_12/2014</t>
  </si>
  <si>
    <t>JOELHO 90 GRAUS, PVC, SERIE NORMAL, ESGOTO PREDIAL, DN 100 MM, JUNTA ELÁSTICA, FORNECIDO E INSTALADO EM RAMAL DE DESCARGA OU RAMAL DE ESGOTO SANITÁRIO. AF_12/2014</t>
  </si>
  <si>
    <t>JUNÇÃO SIMPLES, PVC, SERIE NORMAL, ESGOTO PREDIAL, DN 40 MM, JUNTA SOLDÁVEL, FORNECIDO E INSTALADO EM RAMAL DE DESCARGA OU RAMAL DE ESGOTO SANITÁRIO. AF_12/2014</t>
  </si>
  <si>
    <t>JUNÇÃO SIMPLES, PVC, SERIE NORMAL, ESGOTO PREDIAL, DN 50 X 50 MM, JUNTA ELÁSTICA, FORNECIDO E INSTALADO EM RAMAL DE DESCARGA OU RAMAL DE ESGOTO SANITÁRIO. AF_12/2014</t>
  </si>
  <si>
    <t>JUNCAO PVC SIMPLES 75X50MM JE - ESG</t>
  </si>
  <si>
    <t>JUNÇÃO SIMPLES, PVC, SERIE NORMAL, ESGOTO PREDIAL, DN 100 X 100 MM, JUNTA ELÁSTICA, FORNECIDO E INSTALADO EM PRUMADA DE ESGOTO SANITÁRIO OU VENTILAÇÃO. AF_12/2014</t>
  </si>
  <si>
    <t>JUNCAO PVC SIMPLES 100X50MM JE - ESG</t>
  </si>
  <si>
    <t>JUNCAO PVC SIMPLES 100X75MM JE - ESG</t>
  </si>
  <si>
    <t>LUVA SIMPLES, PVC, SERIE NORMAL, ESGOTO PREDIAL, DN 50 MM, JUNTA ELÁSTICA, FORNECIDO E INSTALADO EM RAMAL DE DESCARGA OU RAMAL DE ESGOTO SANITÁRIO. AF_12/2014</t>
  </si>
  <si>
    <t>LUVA SIMPLES, PVC, SERIE NORMAL, ESGOTO PREDIAL, DN 75 MM, JUNTA ELÁSTICA, FORNECIDO E INSTALADO EM RAMAL DE DESCARGA OU RAMAL DE ESGOTO SANITÁRIO. AF_12/2014</t>
  </si>
  <si>
    <t>LUVA SIMPLES, PVC, SERIE NORMAL, ESGOTO PREDIAL, DN 100 MM, JUNTA ELÁSTICA, FORNECIDO E INSTALADO EM RAMAL DE DESCARGA OU RAMAL DE ESGOTO SANITÁRIO. AF_12/2014</t>
  </si>
  <si>
    <t>RALO SECO, PVC, DN 100 X 40 MM, JUNTA SOLDÁVEL, FORNECIDO E INSTALADO EM RAMAL DE DESCARGA OU EM RAMAL DE ESGOTO SANITÁRIO. AF_12/2014</t>
  </si>
  <si>
    <t>REDUCAO EXCENTRICA PVC 75X50MM JE - ESG</t>
  </si>
  <si>
    <t>REDUCAO EXCENTRICA PVC 100X50MM JE - ESG</t>
  </si>
  <si>
    <t>REDUCAO EXCENTRICA PVC 100X75MM JE - ESG</t>
  </si>
  <si>
    <t>TE, PVC, SERIE NORMAL, ESGOTO PREDIAL, DN 50 X 50 MM, JUNTA ELÁSTICA, FORNECIDO E INSTALADO EM RAMAL DE DESCARGA OU RAMAL DE ESGOTO SANITÁRIO. AF_12/2014</t>
  </si>
  <si>
    <t>TE, PVC, SERIE NORMAL, ESGOTO PREDIAL, DN 75 X 75 MM, JUNTA ELÁSTICA, FORNECIDO E INSTALADO EM RAMAL DE DESCARGA OU RAMAL DE ESGOTO SANITÁRIO. AF_12/2014</t>
  </si>
  <si>
    <t>TE, PVC, SERIE NORMAL, ESGOTO PREDIAL, DN 100 X 100 MM, JUNTA ELÁSTICA, FORNECIDO E INSTALADO EM RAMAL DE DESCARGA OU RAMAL DE ESGOTO SANITÁRIO. AF_12/2014</t>
  </si>
  <si>
    <t>COTOVELO 90o PVC ADAPTADOR COM ANEL DE 40MM - ESG</t>
  </si>
  <si>
    <t>COTOVELO 90o PVC ADAPTADOR COM ANEL DE BORRACHA 50MM - ESG</t>
  </si>
  <si>
    <t>TUBO PVC, SÉRIE R, ÁGUA PLUVIAL, DN 75 MM, FORNECIDO E INSTALADO EM RAMAL DE ENCAMINHAMENTO. AF_12/2014</t>
  </si>
  <si>
    <t>TUBO PVC, SERIE NORMAL, ESGOTO PREDIAL, DN 100 MM, FORNECIDO E INSTALADO EM RAMAL DE DESCARGA OU RAMAL DE ESGOTO SANITÁRIO. AF_12/2014</t>
  </si>
  <si>
    <t>TUBO PVC, SERIE NORMAL, ESGOTO PREDIAL, DN 150 MM, FORNECIDO E INSTALADO EM SUBCOLETOR AÉREO DE ESGOTO SANITÁRIO. AF_12/2014</t>
  </si>
  <si>
    <t>TUBO DE PVC PARA REDE COLETORA DE ESGOTO DE PAREDE MACIÇA, DN 200 MM, JUNTA ELÁSTICA - FORNECIMENTO E ASSENTAMENTO. AF_01/2021</t>
  </si>
  <si>
    <t>CURVA 87 GRAUS E 30 MINUTOS, PVC, SERIE R, ÁGUA PLUVIAL, DN 100 MM, JUNTA ELÁSTICA, FORNECIDO E INSTALADO EM RAMAL DE ENCAMINHAMENTO. AF_12/</t>
  </si>
  <si>
    <t>CAP PVC 100MM - ESG</t>
  </si>
  <si>
    <t>JOELHO 45 GRAUS, PVC, SERIE R, ÁGUA PLUVIAL, DN 75 MM, JUNTA ELÁSTICA, FORNECIDO E INSTALADO EM CONDUTORES VERTICAIS DE ÁGUAS PLUVIAIS. AF_12/2014</t>
  </si>
  <si>
    <t>JOELHO 45 GRAUS, PVC, SERIE R, ÁGUA PLUVIAL, DN 100 MM, JUNTA ELÁSTICA, FORNECIDO E INSTALADO EM CONDUTORES VERTICAIS DE ÁGUAS PLUVIAIS. AF_12/2014</t>
  </si>
  <si>
    <t>LUVA SIMPLES, PVC, SERIE R, ÁGUA PLUVIAL, DN 75 MM, JUNTA ELÁSTICA, FORNECIDO E INSTALADO EM RAMAL DE ENCAMINHAMENTO. AF_12/2014</t>
  </si>
  <si>
    <t xml:space="preserve"> BANCADA DE GRANITO CINZA POLIDO, LARGURA DE 0,60 M, PARA PIA DE COZINHA</t>
  </si>
  <si>
    <t>CUBA DE EMBUTIR RETANGULAR DE AÇO INOXIDÁVEL, 46 X 30 X 12 CM - FORNECIMENTO  E INSTALAÇÃO. AF_01/2020</t>
  </si>
  <si>
    <t>CUBA DE EMBUTIR OVAL EM LOUÇA BRANCA, 35 X 50CM OU EQUIVALENTE - FORNECIMENTO  E INSTALAÇÃO. AF_01/2020</t>
  </si>
  <si>
    <t>TORNEIRA CROMADA DE MESA, 1/2 OU 3/4, PARA LAVATÓRIO, PADRÃO POPULAR  FORNECIMENTO E INSTALAÇÃO. AF_01/2020</t>
  </si>
  <si>
    <t>TORNEIRA CROMADA TUBO MÓVEL, DE MESA, 1/2 OU 3/4, PARA PIA DE COZINHA,  PADRÃO ALTO -  FORNECIMENTO E INSTALAÇÃO. AF_01/2020</t>
  </si>
  <si>
    <t>CHUVEIRO LAVA OLHOS DE EMERGÊNCIA COM PLACA DE SINALIZAÇÃO</t>
  </si>
  <si>
    <t>VASO SANITÁRIO SIFONADO COM CAIXA ACOPLADA LOUÇA BRANCA - PADRÃO MÉDIO, INCLUSO ENGATE FLEXÍVEL EM METAL CROMADO, 1/2 X 40CM - FORNECIMENTOE INSTALAÇÃO. AF_01/2020</t>
  </si>
  <si>
    <t xml:space="preserve"> VASO SANITARIO SIFONADO CONVENCIONAL PARA PCD SEM FURO FRONTAL COM LOUÇA BRANCA  SEM ASSENTO - FORNECIMENTO E INSTALAÇÃO. AF_01/2020</t>
  </si>
  <si>
    <t xml:space="preserve"> SABONETEIRA PLASTICA TIPO DISPENSER PARA SABONETE LIQUIDO COM RESERVATORIO 800  A 1500 ML, INCLUSO FIXAÇÃO. AF_01/2020</t>
  </si>
  <si>
    <t>MICTÓRIO SIFONADO LOUÇA BRANCA PADRÃO MÉDIO FORNECIMENTO E INSTALAÇÃO. AF_01/2020</t>
  </si>
  <si>
    <t>TAPA VISTA DE MICTÓRIO EM PAINEL DE GRANILITE, ESP = 3CM, ASSENTADO COM ARGAMASSA COLANTE AC III-E . AF_01/2021</t>
  </si>
  <si>
    <t>DIVISORIA SANITÁRIA, TIPO CABINE, EM PAINEL DE GRANILITE, ESP = 3CM, ASSENTADO COM ARGAMASSA COLANTE AC III-E, EXCLUSIVE FERRAGENS. AF_01/2021</t>
  </si>
  <si>
    <t>BARRA DE APOIO RETA, EM ACO INOX POLIDO, COMPRIMENTO 80 CM, FIXADA NA PAREDE - FORNECIMENTO E INSTALAÇÃO. AF_01/2020</t>
  </si>
  <si>
    <t>CHUVEIRO ELÉTRICO COMUM CORPO PLÁSTICO, TIPO DUCHA FORNECIMENTO E INSTALAÇÃO. AF_01/2020</t>
  </si>
  <si>
    <t>DRENO AR CONDICIONADO</t>
  </si>
  <si>
    <t>BUCHA DE REDUÇÃO, PVC, SOLDÁVEL, DN 40MM X 25MM, INSTALADO EM RAMAL OU SUB-RAMAL DE ÁGUA - FORNECIMENTO E INSTALAÇÃO. AF_03/2015</t>
  </si>
  <si>
    <t>GAS GLP</t>
  </si>
  <si>
    <t>TUBO EM COBRE RÍGIDO, DN 15 MM, CLASSE A, SEM ISOLAMENTO, INSTALADO EM RAMAL DE DISTRIBUIÇÃO FORNECIMENTO E INSTALAÇÃO. AF_12/2015</t>
  </si>
  <si>
    <t>TUBO EM COBRE RÍGIDO, DN 22 MM, CLASSE A, SEM ISOLAMENTO, INSTALADO EM RAMAL DE DISTRIBUIÇÃO FORNECIMENTO E INSTALAÇÃO. AF_12/2015</t>
  </si>
  <si>
    <t>COTOVELO EM COBRE, DN 15 MM, 90 GRAUS, SEM ANEL DE SOLDA, INSTALADO EM RAMAL DE DISTRIBUIÇÃO FORNECIMENTO E INSTALAÇÃO. AF_12/2015</t>
  </si>
  <si>
    <t>BUCHA DE REDUÇÃO EM COBRE, DN 22 MM X 15 MM, SEM ANEL DE SOLDA, BOLSA X BOLSA, INSTALADO EM PRUMADA FORNECIMENTO E INSTALAÇÃO. AF_01/2016</t>
  </si>
  <si>
    <t>TE EM COBRE, DN 22 MM, SEM ANEL DE SOLDA, INSTALADO EM RAMAL DE DISTRIBUIÇÃO FORNECIMENTO E INSTALAÇÃO. AF_12/2015</t>
  </si>
  <si>
    <t>REGISTRO OU REGULADOR DE GÁS DE COZINHA - FORNECIMENTO E INSTALAÇÃO. AF_08/2021</t>
  </si>
  <si>
    <t xml:space="preserve"> QUADRO DE MEDIÇÃO DE ENERGIA INDIRETA TIPO H - FORNECIMENTO E INSTALAÇÃO</t>
  </si>
  <si>
    <t>QUADRO DE DISTRIBUIÇÃO DE ENERGIA EM CHAPA DE AÇO GALVANIZADO, DE SOBREPOR, COM BARRAMENTO TRIFÁSICO, PARA 18 DISJUNTORES DIN 100A - FORNECIMENTO E INSTALAÇÃO. AF_10/2020</t>
  </si>
  <si>
    <t>QUADRO DE DISTRIBUIÇÃO DE ENERGIA EM CHAPA DE AÇO GALVANIZADO, DE EMBUTIR, COM BARRAMENTO TRIFÁSICO, PARA 30 DISJUNTORES DIN 150A - FORNECIM
ENTO E INSTALAÇÃO. AF_10/2020</t>
  </si>
  <si>
    <t>DISJUNTOR BIPOLAR TIPO NEMA, CORRENTE NOMINAL DE 10 ATÉ 50A - FORNECIMENTO E INSTALAÇÃO. AF_10/2020</t>
  </si>
  <si>
    <t>DISJUNTOR MONOPOLAR TIPO NEMA, CORRENTE NOMINAL DE 10 ATÉ 30A - FORNECIMENTO E INSTALAÇÃO. AF_10/2020</t>
  </si>
  <si>
    <t xml:space="preserve">INTERRUPTOR PARALELO (1 MÓDULO), 10A/250V, INCLUINDO SUPORTE E PLACA -FORNECIMENTO E INSTALAÇÃO. AF_12/2015 </t>
  </si>
  <si>
    <t>INTERRUPTOR INTERMEDIÁRIO (1 MÓDULO), 10A/250V, INCLUINDO SUPORTE E PLACA - FORNECIMENTO E INSTALAÇÃO. AF_09/2017</t>
  </si>
  <si>
    <t>INTERRUPTOR PARALELO (2 MÓDULOS) COM 1 TOMADA DE EMBUTIR 2P+T 10 A, INCLUINDO SUPORTE E PLACA - FORNECIMENTO E INSTALAÇÃO. AF_12/2015</t>
  </si>
  <si>
    <t>INTERRUPTOR SIMPLES (2 MÓDULOS) COM 1 TOMADA DE EMBUTIR 2P+T 10 A, INCLUINDO SUPORTE E PLACA - FORNECIMENTO E INSTALAÇÃO. AF_12/2015</t>
  </si>
  <si>
    <t>INTERRUPTOR SIMPLES (1 MÓDULO) COM INTERRUPTOR PARALELO (1 MÓDULO), 10A/250V, INCLUINDO SUPORTE E PLACA - FORNECIMENTO E INSTALAÇÃO. AF_12/2
015</t>
  </si>
  <si>
    <t>INTERRUPTOR SIMPLES (1 MÓDULO) COM 1 TOMADA DE EMBUTIR 2P+T 10 A, INCLUINDO SUPORTE E PLACA - FORNECIMENTO E INSTALAÇÃO. AF_12/2015</t>
  </si>
  <si>
    <t>INTERRUPTOR PARALELO (1 MÓDULO) COM 1 TOMADA DE EMBUTIR 2P+T 10 A, INCLUINDO SUPORTE E PLACA - FORNECIMENTO E INSTALAÇÃO. AF_12/2015</t>
  </si>
  <si>
    <t>TOMADA BAIXA DE EMBUTIR (1 MÓDULO), 2P+T 10 A, INCLUINDO SUPORTE E PLACA -FORNECIMENTO E INSTALAÇÃO. AF_12/2015</t>
  </si>
  <si>
    <t>TOMADA BAIXA DE EMBUTIR (1 MÓDULO), 2P+T 20 A, INCLUINDO SUPORTE E PLACA - FORNECIMENTO E INSTALAÇÃO. AF_12/2015</t>
  </si>
  <si>
    <t xml:space="preserve">LÂMPADA TUBULAR LED DE 18/20 W, BASE G13 - FORNECIMENTO E INSTALAÇÃO.AF_02/2020_P </t>
  </si>
  <si>
    <t>CABO DE COBRE FLEXÍVEL ISOLADO, 300 MM², ANTI-CHAMA 0,6/1,0 KV, PARA REDE ENTERRADA DE DISTRIBUIÇÃO DE ENERGIA ELÉTRICA - FORNECIMENTO E INSTALAÇÃO. AF_12/2021</t>
  </si>
  <si>
    <t>CABO DE COBRE FLEXÍVEL ISOLADO, 95 MM², ANTI-CHAMA 0,6/1,0 KV, PARA REDE ENTERRADA DE DISTRIBUIÇÃO DE ENERGIA ELÉTRICA - FORNECIMENTO E INSTALAÇÃO. AF_12/2021</t>
  </si>
  <si>
    <t xml:space="preserve">CABO DE COBRE FLEXÍVEL ISOLADO, 150 MM², ANTI-CHAMA 450/750 V, PARA DISTRIBUIÇÃO - FORNECIMENTO E INSTALAÇÃO. AF_12/2021 </t>
  </si>
  <si>
    <t xml:space="preserve">CABO DE COBRE FLEXÍVEL ISOLADO, 120 MM², ANTI-CHAMA 450/750 V, PARA DISTRIBUIÇÃO - FORNECIMENTO E INSTALAÇÃO. AF_12/2021 </t>
  </si>
  <si>
    <t>CABO DE COBRE FLEXÍVEL ISOLADO, 70 MM², ANTI-CHAMA 0,6/1,0 KV, PARA REDE ENTERRADA DE DISTRIBUIÇÃO DE ENERGIA ELÉTRICA - FORNECIMENTO E INSTALAÇÃO. AF_12/2021</t>
  </si>
  <si>
    <t>CABO DE COBRE FLEXÍVEL ISOLADO, 50 MM², ANTI-CHAMA 0,6/1,0 KV, PARA REDE ENTERRADA DE DISTRIBUIÇÃO DE ENERGIA ELÉTRICA - FORNECIMENTO E INSTALAÇÃO. AF_12/2021</t>
  </si>
  <si>
    <t>CABO DE COBRE FLEXÍVEL ISOLADO, 35 MM², ANTI-CHAMA 0,6/1,0 KV, PARA REDE ENTERRADA DE DISTRIBUIÇÃO DE ENERGIA ELÉTRICA - FORNECIMENTO E INSTALAÇÃO. AF_12/2021</t>
  </si>
  <si>
    <t>CABO DE COBRE FLEXÍVEL ISOLADO, 25 MM², ANTI-CHAMA 0,6/1,0 KV, PARA REDE ENTERRADA DE DISTRIBUIÇÃO DE ENERGIA ELÉTRICA - FORNECIMENTO E INSTALAÇÃO. AF_12/2021</t>
  </si>
  <si>
    <t>CABO DE COBRE FLEXÍVEL ISOLADO, 16 MM², ANTI-CHAMA 0,6/1,0 KV, PARA REDE ENTERRADA DE DISTRIBUIÇÃO DE ENERGIA ELÉTRICA - FORNECIMENTO E INSTALAÇÃO. AF_12/2021</t>
  </si>
  <si>
    <t>CABO DE COBRE FLEXÍVEL ISOLADO, 6 MM², ANTI-CHAMA 0,6/1,0 KV, PARA CIRCUITOS TERMINAIS - FORNECIMENTO E INSTALAÇÃO. AF_12/2015</t>
  </si>
  <si>
    <t>CABO DE COBRE FLEXÍVEL ISOLADO, 4 MM², ANTI-CHAMA 0,6/1,0 KV, PARA CIRCUITOS TERMINAIS - FORNECIMENTO E INSTALAÇÃO. AF_12/2015</t>
  </si>
  <si>
    <t>ELETRODUTO FLEXÍVEL CORRUGADO, PVC, DN 32 MM (1"), PARA CIRCUITOS TERMINAIS, INSTALADO EM PAREDE - FORNECIMENTO E INSTALAÇÃO. AF_12/2015</t>
  </si>
  <si>
    <t>ELETRODUTO FoGo 2" COM LUVA</t>
  </si>
  <si>
    <t>ELETRODUTO DE AÇO GALVANIZADO, CLASSE SEMI PESADO, DN 40 MM (1 1/2 ), APARENTE, INSTALADO EM TETO - FORNECIMENTO E INSTALAÇÃO. AF_11/2016_P</t>
  </si>
  <si>
    <t>ELETRODUTO DE AÇO GALVANIZADO, CLASSE LEVE, DN 20 MM (3/4), APARENTE, INSTALADO EM TETO - FORNECIMENTO E INSTALAÇÃO. AF_11/2016_P</t>
  </si>
  <si>
    <t>CAIXA RETANGULAR 4" X 2" MÉDIA (1,30 M DO PISO), PVC, INSTALADA EM PAREDE - FORNECIMENTO E INSTALAÇÃO. AF_12/2015</t>
  </si>
  <si>
    <t>CAIXA OCTOGONAL 3" X 3", PVC, INSTALADA EM LAJE - FORNECIMENTO E INSTALAÇÃO. AF_12/2015</t>
  </si>
  <si>
    <t>ELETRODUTO FLEXÍVEL CORRUGADO, PVC, DN 150 MM (6"), PARA REDES DE DISTRIBUIÇÃO</t>
  </si>
  <si>
    <t>CAIXA DE PASSAGEM COM TAMPA PARAFUSADA 20X20X12CM</t>
  </si>
  <si>
    <t>CAIXA DE PASSAGEM EM ALVENARIA DE TIJOLO COMUM 40X40X50CM - ELE</t>
  </si>
  <si>
    <t>CAIXA DE PASSAGEM COM TAMPA PARAFUSADA 40X40X12CM</t>
  </si>
  <si>
    <t>CABO ELETRÔNICO CATEGORIA 5E, INSTALADO EM EDIFICAÇÃO INSTITUCIONAL - FORNECIMENTO E INSTALAÇÃO. AF_11/2019</t>
  </si>
  <si>
    <t>TOMADA DE REDE RJ45 - FORNECIMENTO E INSTALAÇÃO. AF_11/2019</t>
  </si>
  <si>
    <t>TOMADA PARA TELEFONE RJ11 - FORNECIMENTO E INSTALAÇÃO. AF_11/2019</t>
  </si>
  <si>
    <t>15.01.03</t>
  </si>
  <si>
    <t>15.01.04</t>
  </si>
  <si>
    <t>15.01.05</t>
  </si>
  <si>
    <t>15.01.06</t>
  </si>
  <si>
    <t>15.01.07</t>
  </si>
  <si>
    <t>14.01.01</t>
  </si>
  <si>
    <t>14.01.02</t>
  </si>
  <si>
    <t>14.01.03</t>
  </si>
  <si>
    <t>14.01.04</t>
  </si>
  <si>
    <t>16.01.01</t>
  </si>
  <si>
    <t>16.01.02</t>
  </si>
  <si>
    <t>16.01.03</t>
  </si>
  <si>
    <t>16.01.04</t>
  </si>
  <si>
    <t>16.01.05</t>
  </si>
  <si>
    <t>16.01.06</t>
  </si>
  <si>
    <t>SISTEMA DE PROTEÇÃO DE DESCARGAS ATMOSFÉRICAS (SPDA)</t>
  </si>
  <si>
    <t>CORDOALHA DE COBRE NU 50 MM², NÃO ENTERRADA, COM ISOLADOR - FORNECIMENTO E INSTALAÇÃO. AF_12/2017</t>
  </si>
  <si>
    <t>CORDOALHA DE COBRE NU 16 MM², NÃO ENTERRADA, COM ISOLADOR - FORNECIMENTO E INSTALAÇÃO. AF_12/2017</t>
  </si>
  <si>
    <t>BARRA CHATA DE ALUMÍNIO 1/4"X 7/8" 6M</t>
  </si>
  <si>
    <r>
      <rPr>
        <sz val="9.5"/>
        <rFont val="Calibri"/>
        <family val="2"/>
      </rPr>
      <t>BARRA CHATA DE ALUMÍNIO 1/4 X "COM DUTO DE PROTEÇÃO DE 1" EM PVC RÍGIDO</t>
    </r>
  </si>
  <si>
    <t>barra</t>
  </si>
  <si>
    <t>TERMINAL REFORCADO DE PRESSAO PARA CABO DE 50MM2</t>
  </si>
  <si>
    <t>135163</t>
  </si>
  <si>
    <r>
      <rPr>
        <sz val="9.5"/>
        <rFont val="Calibri"/>
        <family val="2"/>
      </rPr>
      <t xml:space="preserve">BARRAMENTO 5 FUROS DE COBRE DE EQUIPOTENCIALIZAÇÃO PRINCIPAL INSTALADO
</t>
    </r>
    <r>
      <rPr>
        <sz val="9.5"/>
        <rFont val="Calibri"/>
        <family val="2"/>
      </rPr>
      <t>EM CAIXA 20X20CM</t>
    </r>
  </si>
  <si>
    <t>cj</t>
  </si>
  <si>
    <t>HASTE DE ATERRAMENTO 5/8 PARA SPDA - FORNECIMENTO E INSTALAÇÃO. AF_12/2017</t>
  </si>
  <si>
    <t>CAIXA DE INSPEÇÃO PARA ATERRAMENTO, CIRCULAR, EM POLIETILENO, DIÂMETRO INTERNO = 0,3 M. AF_12/2020</t>
  </si>
  <si>
    <t>BASE METÁLICA PARA MASTRO 1 ½ PARA SPDA - FORNECIMENTO E INSTALAÇÃO. AF_12/2017</t>
  </si>
  <si>
    <t>MASTRO 1 ½ PARA SPDA - FORNECIMENTO E INSTALAÇÃO. AF_12/2017</t>
  </si>
  <si>
    <t>CAPTOR TIPO FRANKLIN PARA SPDA - FORNECIMENTO E INSTALAÇÃO. AF_12/2017</t>
  </si>
  <si>
    <t>Subtotal item 16.01.00</t>
  </si>
  <si>
    <t>SUPORTE ISOLADOR PARA CORDOALHA DE COBRE - FORNECIMENTO E INSTALAÇÃO. AF_12/2017</t>
  </si>
  <si>
    <t>ABRIGO PARA HIDRANTE, 90X60X17CM, COM REGISTRO GLOBO ANGULAR 45 GRAUS 2 1/2", ADAPTADOR STORZ 2 1/2", MANGUEIRA DE INCÊNDIO 20M, REDUÇÃO 2 1/2" X 1 1/2" E ESGUICHO EM LATÃO 1 1/2" - FORNECIMENTO E INSTALAÇÃO. AF_10/2020</t>
  </si>
  <si>
    <t>18.01.01</t>
  </si>
  <si>
    <t>18.01.02</t>
  </si>
  <si>
    <t>18.01.03</t>
  </si>
  <si>
    <t>18.01.04</t>
  </si>
  <si>
    <t>18.01.05</t>
  </si>
  <si>
    <t>18.01.07</t>
  </si>
  <si>
    <t>18.01.08</t>
  </si>
  <si>
    <t>18.01.09</t>
  </si>
  <si>
    <t>18.01.10</t>
  </si>
  <si>
    <t>18.01.11</t>
  </si>
  <si>
    <t>18.01.12</t>
  </si>
  <si>
    <t>18.01.13</t>
  </si>
  <si>
    <t>BOTAO ALARME DE INCENDIO TIPO QUEBRE E APERTE</t>
  </si>
  <si>
    <t>BOTOEIRA (LIGA-DESLIGA) BLINDADA</t>
  </si>
  <si>
    <t>SIRENE 90 db</t>
  </si>
  <si>
    <t>DETECTOR DE TEMPERATURA ENDEREÇÁVEL</t>
  </si>
  <si>
    <t>CONJUNTO MOTOBOMBA DE RECALQUE POT=5CV VAZAO 12M3/H 63MCa</t>
  </si>
  <si>
    <t>QUADRO DE DISTRIBUIÇÃO DE ENERGIA EM PVC, DE EMBUTIR, SEM BARRAMENTO, PARA 6 DISJUNTORES -  FORNECIMENTO E INSTALAÇÃO. AF_10/2020</t>
  </si>
  <si>
    <t>VÁLVULA DE RETENÇÃO HORIZONTAL, DE BRONZE, ROSCÁVEL, 2 1/2" - FORNECIMENTO E INSTALAÇÃO. AF_08/2021</t>
  </si>
  <si>
    <t>REGISTRO DE GAVETA BRUTO, LATÃO, ROSCÁVEL, 2 1/2" - FORNECIMENTO E INSTALAÇÃO. AF_08/2021</t>
  </si>
  <si>
    <t>TUBO DE AÇO GALVANIZADO COM COSTURA, CLASSE MÉDIA, CONEXÃO RANHURADA, DN 65 (2 1/2"), INSTALADO EM PRUMADAS - FORNECIMENTO E INSTALAÇÃO. AF_10/2020</t>
  </si>
  <si>
    <t>COTOVELO 90 GRAUS, EM FERRO GALVANIZADO, CONEXÃO ROSQUEADA, DN 65 (2 1/2), INSTALADO EM RESERVAÇÃO DE ÁGUA DE EDIFICAÇÃO QUE POSSUA RESERVATÓRIO DE FIBRA/FIBROCIMENTO FORNECIMENTO E INSTALAÇÃO. AF_06/2016</t>
  </si>
  <si>
    <t>TÊ, EM AÇO, CONEXÃO RANHURADA, DN 65 (2 1/2"), INSTALADO EM PRUMADAS - FORNECIMENTO E INSTALAÇÃO. AF_10/2020</t>
  </si>
  <si>
    <t>HIDRANTE SUBTERRÂNEO PREDIAL (COM CURVA LONGA E CAIXA), DN 75 MM - FORNECIMENTO E INSTALAÇÃO. AF_10/2020</t>
  </si>
  <si>
    <t>EXTINTOR DE INCÊNDIO PORTÁTIL COM CARGA DE ÁGUA PRESSURIZADA DE 10 L, CLASSE A - FORNECIMENTO E INSTALAÇÃO. AF_10/2020_P</t>
  </si>
  <si>
    <t>EXTINTOR DE INCÊNDIO PORTÁTIL COM CARGA DE PQS DE 4 KG, CLASSE BC - FORNECIMENTO E INSTALAÇÃO. AF_10/2020_P</t>
  </si>
  <si>
    <t>EXTINTOR DE INCÊNDIO PORTÁTIL COM CARGA DE CO2 DE 6 KG, CLASSE BC - FORNECIMENTO E INSTALAÇÃO. AF_10/2020_P</t>
  </si>
  <si>
    <t>LUMINÁRIA DE EMERGÊNCIA, COM 30 LÂMPADAS LED DE 2 W, SEM REATOR - FORNECIMENTO  E INSTALAÇÃO. AF_02/2020</t>
  </si>
  <si>
    <t>18.01.14</t>
  </si>
  <si>
    <t>18.01.15</t>
  </si>
  <si>
    <t>CONEXÃO COM SOLDA EXOTÉRMICA ENTRE CORDOALHAS "T" 50MM² P/ 16MM²</t>
  </si>
  <si>
    <t>MOLDE EM GRAFITE EM DERIVAÇÃO EM "X" PARA SOLDA EXOTERMICA</t>
  </si>
  <si>
    <t>PLANTIO DE ÁRVORE ORNAMENTAL COM ALTURA DE MUDA MENOR OU IGUAL A 2,00M. AF_05/2018</t>
  </si>
  <si>
    <t>04.03.02</t>
  </si>
  <si>
    <t>04.03.04</t>
  </si>
  <si>
    <t>04.03.05</t>
  </si>
  <si>
    <t>04.03.06</t>
  </si>
  <si>
    <t>04.03.07</t>
  </si>
  <si>
    <t>04.03.08</t>
  </si>
  <si>
    <t>04.03.09</t>
  </si>
  <si>
    <t>04.03.10</t>
  </si>
  <si>
    <t xml:space="preserve"> FORRO EM DRYWALL (GESSO ACARTONADO), PARA AMBIENTES COMERCIAIS, INCLUSIVE ESTRUTURA DE FIXAÇÃO.  AF_05/2017_P</t>
  </si>
  <si>
    <t>TUBO EM COBRE FLEXÍVEL, DN 1/4", COM ISOLAMENTO, INSTALADO EM FORRO, PARA RAMAL DE ALIMENTAÇÃO DE AR CONDICIONADO, INCLUSO FIXADOR. AF_11/2021</t>
  </si>
  <si>
    <t>TUBO EM COBRE FLEXÍVEL, DN 3/8", COM ISOLAMENTO, INSTALADO EM FORRO, PARA RAMAL DE ALIMENTAÇÃO DE AR CONDICIONADO, INCLUSO FIXADOR. AF_11/2021</t>
  </si>
  <si>
    <t>TUBO EM COBRE FLEXÍVEL, DN 1/2", COM ISOLAMENTO, INSTALADO EM FORRO, PARA RAMAL DE ALIMENTAÇÃO DE AR CONDICIONADO, INCLUSO FIXADOR. AF_11/2021</t>
  </si>
  <si>
    <t>TUBO EM COBRE RÍGIDO, DN 15 MM, CLASSE E, COM ISOLAMENTO, INSTALADO EM RAMAL DE DISTRIBUIÇÃO FORNECIMENTO E INSTALAÇÃO. AF_12/2015</t>
  </si>
  <si>
    <t>TUBO EM COBRE RÍGIDO, DN 22 MM, CLASSE E, COM ISOLAMENTO, INSTALADO EM  RAMAL DE DISTRIBUIÇÃO FORNECIMENTO E INSTALAÇÃO. AF_12/2015</t>
  </si>
  <si>
    <t>TUBO EM COBRE FLEXÍVEL, DN 5/8", COM ISOLAMENTO, INSTALADO EM FORRO, PARA RAMAL DE ALIMENTAÇÃO DE AR CONDICIONADO, INCLUSO FIXADOR. AF_11/2021</t>
  </si>
  <si>
    <t>GUINDASTE HIDRÁULICO AUTOPROPELIDO, COM LANÇA TELESCÓPICA 40 M, CAPACIDADE MÁXIMA 60 T, POTÊNCIA 260 KW - CHP DIURNO. AF_03/2016</t>
  </si>
  <si>
    <t>CHP</t>
  </si>
  <si>
    <t>COTOVELO EM COBRE, DN 22 MM, 90 GRAUS, SEM ANEL DE SOLDA, INSTALADO EM RAMAL DE DISTRIBUIÇÃO FORNECIMENTO E INSTALAÇÃO. AF_12/2015</t>
  </si>
  <si>
    <t>LUVA EM COBRE, DN 15 MM, SEM ANEL DE SOLDA, INSTALADO EM RAMAL DE DISTRIBUIÇÃO FORNECIMENTO E INSTALAÇÃO. AF_12/2015</t>
  </si>
  <si>
    <t>LUVA EM COBRE, DN 22 MM, SEM ANEL DE SOLDA, INSTALADO EM RAMAL DE DIST UN CR 14,00
RIBUIÇÃO FORNECIMENTO E INSTALAÇÃO. AF_12/2015</t>
  </si>
  <si>
    <t>02.01.00</t>
  </si>
  <si>
    <t>02.01.01</t>
  </si>
  <si>
    <t>02.01.02</t>
  </si>
  <si>
    <t>04.02.02</t>
  </si>
  <si>
    <t>04.02.03</t>
  </si>
  <si>
    <t>04.02.04</t>
  </si>
  <si>
    <t>04.02.05</t>
  </si>
  <si>
    <t>04.02.06</t>
  </si>
  <si>
    <t>04.02.07</t>
  </si>
  <si>
    <t>04.02.08</t>
  </si>
  <si>
    <t>16.01.07</t>
  </si>
  <si>
    <t>16.01.08</t>
  </si>
  <si>
    <t>16.01.09</t>
  </si>
  <si>
    <t>16.01.10</t>
  </si>
  <si>
    <t>16.01.11</t>
  </si>
  <si>
    <t>16.01.12</t>
  </si>
  <si>
    <t>16.01.13</t>
  </si>
  <si>
    <t>16.01.14</t>
  </si>
  <si>
    <t>MÊS 7</t>
  </si>
  <si>
    <t>MÊS 8</t>
  </si>
  <si>
    <t>MÊS 9</t>
  </si>
  <si>
    <t>MÊS 10</t>
  </si>
  <si>
    <t>MÊS 11</t>
  </si>
  <si>
    <t>MÊS 12</t>
  </si>
  <si>
    <t>19.00.00</t>
  </si>
  <si>
    <t>20.00.00</t>
  </si>
  <si>
    <t>04.01.00</t>
  </si>
  <si>
    <t>04.01.01</t>
  </si>
  <si>
    <t>04.02.09</t>
  </si>
  <si>
    <t>04.03.11</t>
  </si>
  <si>
    <t>04.03.12</t>
  </si>
  <si>
    <t>05.02.00</t>
  </si>
  <si>
    <t>05.02.01</t>
  </si>
  <si>
    <t>05.02.02</t>
  </si>
  <si>
    <t>05.02.03</t>
  </si>
  <si>
    <t>05.02.04</t>
  </si>
  <si>
    <t>05.02.05</t>
  </si>
  <si>
    <t>05.02.06</t>
  </si>
  <si>
    <t>05.02.07</t>
  </si>
  <si>
    <t>05.02.08</t>
  </si>
  <si>
    <t>05.03.00</t>
  </si>
  <si>
    <t>05.03.01</t>
  </si>
  <si>
    <t>05.03.02</t>
  </si>
  <si>
    <t>05.03.03</t>
  </si>
  <si>
    <t>05.03.04</t>
  </si>
  <si>
    <t>05.03.05</t>
  </si>
  <si>
    <t>05.03.06</t>
  </si>
  <si>
    <t>05.03.07</t>
  </si>
  <si>
    <t>05.03.08</t>
  </si>
  <si>
    <t>05.03.09</t>
  </si>
  <si>
    <t>05.03.10</t>
  </si>
  <si>
    <t>07.01.00</t>
  </si>
  <si>
    <t>07.01.01</t>
  </si>
  <si>
    <t>07.01.02</t>
  </si>
  <si>
    <t>07.01.03</t>
  </si>
  <si>
    <t>07.01.04</t>
  </si>
  <si>
    <t>07.01.05</t>
  </si>
  <si>
    <t>07.01.06</t>
  </si>
  <si>
    <t>07.01.07</t>
  </si>
  <si>
    <t>07.01.08</t>
  </si>
  <si>
    <t>08.01.00</t>
  </si>
  <si>
    <t>08.01.01</t>
  </si>
  <si>
    <t>08.01.02</t>
  </si>
  <si>
    <t>08.01.03</t>
  </si>
  <si>
    <t>08.01.04</t>
  </si>
  <si>
    <t>08.01.05</t>
  </si>
  <si>
    <t>08.01.06</t>
  </si>
  <si>
    <t>08.01.07</t>
  </si>
  <si>
    <t>08.01.08</t>
  </si>
  <si>
    <t>08.01.09</t>
  </si>
  <si>
    <t>08.01.10</t>
  </si>
  <si>
    <t>08.01.11</t>
  </si>
  <si>
    <t>08.01.12</t>
  </si>
  <si>
    <t>08.02.00</t>
  </si>
  <si>
    <t>08.02.01</t>
  </si>
  <si>
    <t>08.02.02</t>
  </si>
  <si>
    <t>08.02.03</t>
  </si>
  <si>
    <t>08.02.04</t>
  </si>
  <si>
    <t>09.01.00</t>
  </si>
  <si>
    <t>PORTÕES</t>
  </si>
  <si>
    <t>10.01.01</t>
  </si>
  <si>
    <t>11.01.01</t>
  </si>
  <si>
    <t>11.01.02</t>
  </si>
  <si>
    <t>11.01.03</t>
  </si>
  <si>
    <t>11.01.04</t>
  </si>
  <si>
    <t>11.01.05</t>
  </si>
  <si>
    <t>11.02.01</t>
  </si>
  <si>
    <t>11.02.02</t>
  </si>
  <si>
    <t>11.03.01</t>
  </si>
  <si>
    <t>11.03.02</t>
  </si>
  <si>
    <t>11.03.03</t>
  </si>
  <si>
    <t>11.04.00</t>
  </si>
  <si>
    <t>11.04.01</t>
  </si>
  <si>
    <t>11.04.02</t>
  </si>
  <si>
    <t>11.04.03</t>
  </si>
  <si>
    <t>11.04.04</t>
  </si>
  <si>
    <t>11.04.05</t>
  </si>
  <si>
    <t>12.01.03</t>
  </si>
  <si>
    <t>12.01.04</t>
  </si>
  <si>
    <t>14.02.00</t>
  </si>
  <si>
    <t>14.02.01</t>
  </si>
  <si>
    <t>14.02.02</t>
  </si>
  <si>
    <t>14.03.00</t>
  </si>
  <si>
    <t>14.03.01</t>
  </si>
  <si>
    <t>14.03.02</t>
  </si>
  <si>
    <t>14.04.00</t>
  </si>
  <si>
    <t>14.04.01</t>
  </si>
  <si>
    <t>14.05.00</t>
  </si>
  <si>
    <t>14.05.01</t>
  </si>
  <si>
    <t>14.05.02</t>
  </si>
  <si>
    <t>19.01.01</t>
  </si>
  <si>
    <t>19.01.03</t>
  </si>
  <si>
    <t>19.01.04</t>
  </si>
  <si>
    <t>19.01.05</t>
  </si>
  <si>
    <t>19.01.06</t>
  </si>
  <si>
    <t>19.01.07</t>
  </si>
  <si>
    <t>20.01.01</t>
  </si>
  <si>
    <t>20.01.02</t>
  </si>
  <si>
    <t>20.01.03</t>
  </si>
  <si>
    <t>20.01.04</t>
  </si>
  <si>
    <t>20.01.05</t>
  </si>
  <si>
    <t>20.01.06</t>
  </si>
  <si>
    <t>20.01.07</t>
  </si>
  <si>
    <t>20.01.08</t>
  </si>
  <si>
    <t>20.01.09</t>
  </si>
  <si>
    <t>20.01.10</t>
  </si>
  <si>
    <t>20.01.11</t>
  </si>
  <si>
    <t>20.01.12</t>
  </si>
  <si>
    <t>20.01.13</t>
  </si>
  <si>
    <t>20.01.14</t>
  </si>
  <si>
    <t>20.01.15</t>
  </si>
  <si>
    <t>21.00.00</t>
  </si>
  <si>
    <t>21.01.01</t>
  </si>
  <si>
    <t>21.01.02</t>
  </si>
  <si>
    <t>22.00.00</t>
  </si>
  <si>
    <t>15.01.08</t>
  </si>
  <si>
    <t>15.01.09</t>
  </si>
  <si>
    <t>15.01.10</t>
  </si>
  <si>
    <t>15.01.11</t>
  </si>
  <si>
    <t>15.01.12</t>
  </si>
  <si>
    <t>15.01.13</t>
  </si>
  <si>
    <t>15.01.14</t>
  </si>
  <si>
    <t>15.01.15</t>
  </si>
  <si>
    <t>15.01.16</t>
  </si>
  <si>
    <t>15.01.17</t>
  </si>
  <si>
    <t>15.01.18</t>
  </si>
  <si>
    <t>15.01.19</t>
  </si>
  <si>
    <t>15.01.20</t>
  </si>
  <si>
    <t>15.01.21</t>
  </si>
  <si>
    <t>15.01.22</t>
  </si>
  <si>
    <t>15.01.23</t>
  </si>
  <si>
    <t>15.01.24</t>
  </si>
  <si>
    <t>15.01.25</t>
  </si>
  <si>
    <t>15.01.26</t>
  </si>
  <si>
    <t>15.01.27</t>
  </si>
  <si>
    <t>15.01.28</t>
  </si>
  <si>
    <t>15.01.29</t>
  </si>
  <si>
    <t>15.01.30</t>
  </si>
  <si>
    <t>15.01.31</t>
  </si>
  <si>
    <t>15.01.32</t>
  </si>
  <si>
    <t>15.01.33</t>
  </si>
  <si>
    <t>15.01.34</t>
  </si>
  <si>
    <t>15.01.35</t>
  </si>
  <si>
    <t>15.01.36</t>
  </si>
  <si>
    <t>15.01.37</t>
  </si>
  <si>
    <t>15.01.38</t>
  </si>
  <si>
    <t>15.01.39</t>
  </si>
  <si>
    <t>15.01.40</t>
  </si>
  <si>
    <t>15.01.41</t>
  </si>
  <si>
    <t>15.01.42</t>
  </si>
  <si>
    <t>15.01.43</t>
  </si>
  <si>
    <t>15.01.44</t>
  </si>
  <si>
    <t>15.01.45</t>
  </si>
  <si>
    <t>15.01.46</t>
  </si>
  <si>
    <t>15.01.47</t>
  </si>
  <si>
    <t>15.02.00</t>
  </si>
  <si>
    <t>15.02.01</t>
  </si>
  <si>
    <t>15.02.02</t>
  </si>
  <si>
    <t>15.02.03</t>
  </si>
  <si>
    <t>15.02.04</t>
  </si>
  <si>
    <t>15.02.05</t>
  </si>
  <si>
    <t>15.02.06</t>
  </si>
  <si>
    <t>15.02.07</t>
  </si>
  <si>
    <t>15.02.08</t>
  </si>
  <si>
    <t>15.02.09</t>
  </si>
  <si>
    <t>15.02.10</t>
  </si>
  <si>
    <t>15.02.11</t>
  </si>
  <si>
    <t>15.02.12</t>
  </si>
  <si>
    <t>15.02.13</t>
  </si>
  <si>
    <t>15.02.14</t>
  </si>
  <si>
    <t>15.02.15</t>
  </si>
  <si>
    <t>15.02.16</t>
  </si>
  <si>
    <t>15.02.17</t>
  </si>
  <si>
    <t>15.02.18</t>
  </si>
  <si>
    <t>15.02.19</t>
  </si>
  <si>
    <t>15.02.20</t>
  </si>
  <si>
    <t>15.02.21</t>
  </si>
  <si>
    <t>15.02.22</t>
  </si>
  <si>
    <t>15.02.23</t>
  </si>
  <si>
    <t>15.02.24</t>
  </si>
  <si>
    <t>15.02.25</t>
  </si>
  <si>
    <t>15.02.26</t>
  </si>
  <si>
    <t>15.02.27</t>
  </si>
  <si>
    <t>15.02.28</t>
  </si>
  <si>
    <t>15.02.29</t>
  </si>
  <si>
    <t>15.02.30</t>
  </si>
  <si>
    <t>15.02.31</t>
  </si>
  <si>
    <t>15.02.32</t>
  </si>
  <si>
    <t>15.02.33</t>
  </si>
  <si>
    <t>15.02.34</t>
  </si>
  <si>
    <t>15.02.35</t>
  </si>
  <si>
    <t>15.02.36</t>
  </si>
  <si>
    <t>15.02.37</t>
  </si>
  <si>
    <t>15.02.38</t>
  </si>
  <si>
    <t>15.02.39</t>
  </si>
  <si>
    <t>15.02.40</t>
  </si>
  <si>
    <t>15.02.41</t>
  </si>
  <si>
    <t>15.02.42</t>
  </si>
  <si>
    <t>15.03.00</t>
  </si>
  <si>
    <t>15.03.01</t>
  </si>
  <si>
    <t>15.03.02</t>
  </si>
  <si>
    <t>15.03.03</t>
  </si>
  <si>
    <t>15.03.04</t>
  </si>
  <si>
    <t>15.03.05</t>
  </si>
  <si>
    <t>15.03.06</t>
  </si>
  <si>
    <t>15.03.07</t>
  </si>
  <si>
    <t>15.03.08</t>
  </si>
  <si>
    <t>15.03.09</t>
  </si>
  <si>
    <t>15.03.10</t>
  </si>
  <si>
    <t>15.03.11</t>
  </si>
  <si>
    <t>15.03.12</t>
  </si>
  <si>
    <t>15.03.13</t>
  </si>
  <si>
    <t>15.03.14</t>
  </si>
  <si>
    <t>15.03.15</t>
  </si>
  <si>
    <t>15.04.00</t>
  </si>
  <si>
    <t>15.04.01</t>
  </si>
  <si>
    <t>15.04.02</t>
  </si>
  <si>
    <t>15.04.03</t>
  </si>
  <si>
    <t>15.04.04</t>
  </si>
  <si>
    <t>15.04.05</t>
  </si>
  <si>
    <t>15.04.06</t>
  </si>
  <si>
    <t>15.04.07</t>
  </si>
  <si>
    <t>15.04.08</t>
  </si>
  <si>
    <t>15.04.09</t>
  </si>
  <si>
    <t>15.04.10</t>
  </si>
  <si>
    <t>15.04.11</t>
  </si>
  <si>
    <t>15.04.12</t>
  </si>
  <si>
    <t>15.04.13</t>
  </si>
  <si>
    <t>15.04.14</t>
  </si>
  <si>
    <t>15.04.15</t>
  </si>
  <si>
    <t>15.04.16</t>
  </si>
  <si>
    <t>15.04.17</t>
  </si>
  <si>
    <t>15.05.00</t>
  </si>
  <si>
    <t>15.05.01</t>
  </si>
  <si>
    <t>15.05.02</t>
  </si>
  <si>
    <t>15.05.03</t>
  </si>
  <si>
    <t>15.05.04</t>
  </si>
  <si>
    <t>15.05.05</t>
  </si>
  <si>
    <t>15.05.06</t>
  </si>
  <si>
    <t>15.05.07</t>
  </si>
  <si>
    <t>15.06.00</t>
  </si>
  <si>
    <t>15.06.01</t>
  </si>
  <si>
    <t>15.06.02</t>
  </si>
  <si>
    <t>15.06.03</t>
  </si>
  <si>
    <t>15.06.04</t>
  </si>
  <si>
    <t>15.06.05</t>
  </si>
  <si>
    <t>15.06.06</t>
  </si>
  <si>
    <t>15.06.07</t>
  </si>
  <si>
    <t>15.06.08</t>
  </si>
  <si>
    <t>16.01.15</t>
  </si>
  <si>
    <t>16.01.16</t>
  </si>
  <si>
    <t>16.01.17</t>
  </si>
  <si>
    <t>16.01.18</t>
  </si>
  <si>
    <t>16.01.19</t>
  </si>
  <si>
    <t>16.01.20</t>
  </si>
  <si>
    <t>16.01.21</t>
  </si>
  <si>
    <t>16.01.22</t>
  </si>
  <si>
    <t>16.01.23</t>
  </si>
  <si>
    <t>16.01.24</t>
  </si>
  <si>
    <t>16.01.25</t>
  </si>
  <si>
    <t>16.01.26</t>
  </si>
  <si>
    <t>16.01.27</t>
  </si>
  <si>
    <t>16.01.28</t>
  </si>
  <si>
    <t>16.01.29</t>
  </si>
  <si>
    <t>16.01.30</t>
  </si>
  <si>
    <t>16.01.31</t>
  </si>
  <si>
    <t>16.01.32</t>
  </si>
  <si>
    <t>16.01.33</t>
  </si>
  <si>
    <t>16.01.34</t>
  </si>
  <si>
    <t>16.01.35</t>
  </si>
  <si>
    <t>16.01.36</t>
  </si>
  <si>
    <t>16.01.37</t>
  </si>
  <si>
    <t>16.01.38</t>
  </si>
  <si>
    <t>16.01.39</t>
  </si>
  <si>
    <t>16.01.40</t>
  </si>
  <si>
    <t>16.01.41</t>
  </si>
  <si>
    <t>16.01.42</t>
  </si>
  <si>
    <t>16.01.43</t>
  </si>
  <si>
    <t>16.01.44</t>
  </si>
  <si>
    <t>16.01.45</t>
  </si>
  <si>
    <t>16.01.46</t>
  </si>
  <si>
    <t>16.01.47</t>
  </si>
  <si>
    <t>16.01.48</t>
  </si>
  <si>
    <t>16.01.49</t>
  </si>
  <si>
    <t>16.01.50</t>
  </si>
  <si>
    <t>16.01.51</t>
  </si>
  <si>
    <t>16.01.52</t>
  </si>
  <si>
    <t>16.01.53</t>
  </si>
  <si>
    <t>16.01.54</t>
  </si>
  <si>
    <t>16.01.55</t>
  </si>
  <si>
    <t>16.01.56</t>
  </si>
  <si>
    <t>16.01.57</t>
  </si>
  <si>
    <t>16.01.58</t>
  </si>
  <si>
    <t>16.01.59</t>
  </si>
  <si>
    <t>16.01.60</t>
  </si>
  <si>
    <t>16.01.61</t>
  </si>
  <si>
    <t>16.01.62</t>
  </si>
  <si>
    <t>16.01.63</t>
  </si>
  <si>
    <t>16.01.64</t>
  </si>
  <si>
    <t>16.01.65</t>
  </si>
  <si>
    <t>16.01.66</t>
  </si>
  <si>
    <t>16.01.67</t>
  </si>
  <si>
    <t>16.01.68</t>
  </si>
  <si>
    <t>16.01.69</t>
  </si>
  <si>
    <t>16.01.70</t>
  </si>
  <si>
    <t>19.01.17</t>
  </si>
  <si>
    <t>19.01.18</t>
  </si>
  <si>
    <t>19.01.19</t>
  </si>
  <si>
    <t>19.01.20</t>
  </si>
  <si>
    <t>19.01.21</t>
  </si>
  <si>
    <t>19.01.22</t>
  </si>
  <si>
    <t>19.01.23</t>
  </si>
  <si>
    <t>19.01.24</t>
  </si>
  <si>
    <t>19.01.25</t>
  </si>
  <si>
    <t>19.01.26</t>
  </si>
  <si>
    <t>20.01.16</t>
  </si>
  <si>
    <t>20.01.17</t>
  </si>
  <si>
    <t>20.01.18</t>
  </si>
  <si>
    <t>20.01.19</t>
  </si>
  <si>
    <t>INSTALAÇÕES MECÂNICAS E DE UTILIDADES - AR CONDICIONADO VRF</t>
  </si>
  <si>
    <t>01.00.00 - SERVIÇOS PRELIMINARES - SUBTOTAL</t>
  </si>
  <si>
    <t>04.00.00 - FUNDAÇÕES - SUBTOTAL</t>
  </si>
  <si>
    <t>11.00.00 - REVESTIMENTO - SUBTOTAL</t>
  </si>
  <si>
    <t>12.00.00 - PAVIMENTAÇÃO - SUBTOTAL</t>
  </si>
  <si>
    <t>13.00.00 - SOLEIRAS, RODAPÉS E PEITORIS - SUBTOTAL</t>
  </si>
  <si>
    <t>14.00.00 - PINTURA - SUBTOTAL</t>
  </si>
  <si>
    <t>16.00.00 - INSTALAÇÕES ELÉTRICAS TELEFONICA E CABEAMENTO ESTRUTURADO - SUBTOTAL</t>
  </si>
  <si>
    <t>18.00.00 - SISTEMA DE PROTEÇÃO DE DESCARGAS ATMOSFÉRICAS (SPDA)</t>
  </si>
  <si>
    <t>19.00.00 - INSTALAÇÕES MECÂNICAS E DE UTILIDADES - AR CONDICIONADO VRF - SUBTOTAL</t>
  </si>
  <si>
    <t>20.00.00 - INSTALAÇÕES DE COMBATE E PREVENÇÃO A INCÊNDIO - SUBTOTAL</t>
  </si>
  <si>
    <t>Subtotal item 03.00.00</t>
  </si>
  <si>
    <t>Subtotal item 04.03.00</t>
  </si>
  <si>
    <t>Subtotal item 05.01.00</t>
  </si>
  <si>
    <t>Subtotal item 05.02.00</t>
  </si>
  <si>
    <t>Subtotal item 05.03.00</t>
  </si>
  <si>
    <t>Subtotal item 06.01.00</t>
  </si>
  <si>
    <t>Sub-total item 07.01.00</t>
  </si>
  <si>
    <t>Sub-total item 08.01.00</t>
  </si>
  <si>
    <t>Subtotal item 08.02.00</t>
  </si>
  <si>
    <t>Subtotal item 09.01.00</t>
  </si>
  <si>
    <t>Sub-total item 10.01.00</t>
  </si>
  <si>
    <t>Sub-total item  11.01.00</t>
  </si>
  <si>
    <t>Sub-total item 11.02.00</t>
  </si>
  <si>
    <t>Sub-total item 11.03.00</t>
  </si>
  <si>
    <t>Sub-total item  11.04.00</t>
  </si>
  <si>
    <t>Sub-total item 14.01.00</t>
  </si>
  <si>
    <t>Sub-total item 14.02.00</t>
  </si>
  <si>
    <t>Sub-total item 14.03.00</t>
  </si>
  <si>
    <t>Sub-total item 14.04.00</t>
  </si>
  <si>
    <t>Sub-total item 14.05.00</t>
  </si>
  <si>
    <t>Sub-total item 15.01.00</t>
  </si>
  <si>
    <t>Subtotal item   15.02.00</t>
  </si>
  <si>
    <t>Subtotal item   15.03.00</t>
  </si>
  <si>
    <t>Subtotal item   15.04.00</t>
  </si>
  <si>
    <t>Subtotal item   15.05.00</t>
  </si>
  <si>
    <t>Subtotal item   15.06.00</t>
  </si>
  <si>
    <t>Subtotal item 18.01.00</t>
  </si>
  <si>
    <t>Subtotal item 19.01.00</t>
  </si>
  <si>
    <t>Subtotal item 20.01.00</t>
  </si>
  <si>
    <t>Subtotal item 21.01.00</t>
  </si>
  <si>
    <t>Subtotal item 22.00.00</t>
  </si>
  <si>
    <t>03.00.00 - MOVIMENTO DE TERRA</t>
  </si>
  <si>
    <t>07.00.00 - ALVENARIA- SUBTOTAL</t>
  </si>
  <si>
    <t>15.00.00 - INSTALAÇÕES HIDRÁULICAS, SANITÁRIAS E ÁGUAS PLUVIAIS - SUBTOTAL</t>
  </si>
  <si>
    <t>19.00.00 - INSTALAÇÕES MECÂNICAS E DE UTILIDADES - AR CONDICIONADO VRF – SUBTOTAL</t>
  </si>
  <si>
    <t>20.00.00 - INSTALAÇÕES DE COMBATE E PREVENÇÃO A INCÊNDIO – SUBTOTAL</t>
  </si>
  <si>
    <t>08.00.00 - ESQUADRIAS - SUBTOTAL</t>
  </si>
  <si>
    <t>09.00.00 - PORTÕES- SUBTOTAL</t>
  </si>
  <si>
    <t>10.00.00 - COBERTURA- SUBTOTAL</t>
  </si>
  <si>
    <t>05.00.00 - ESTRUTURA DE CONCRETO- SUBTOTAL</t>
  </si>
  <si>
    <t>MÊS 13</t>
  </si>
  <si>
    <t>MÊS 14</t>
  </si>
  <si>
    <t>MÊS 15</t>
  </si>
  <si>
    <t>MÊS 16</t>
  </si>
  <si>
    <t>MÊS 17</t>
  </si>
  <si>
    <t>MÊS 18</t>
  </si>
  <si>
    <t>MÊS 19</t>
  </si>
  <si>
    <t>MÊS 20</t>
  </si>
  <si>
    <t>MÊS 21</t>
  </si>
  <si>
    <t>MÊS 22</t>
  </si>
  <si>
    <t>SUBTOTAL DE TODOS OS SERVIÇOS (SEM BDI)</t>
  </si>
  <si>
    <t>ESTRUTURAS METÁLICAS - PERFIS W</t>
  </si>
  <si>
    <t>PILAR METÁLICO PERFIL LAMINADO ASTM A572 G.50, EM AÇO ESTRUTURAL, COM CONEXÕES SOLDADAS, INCLUSOS MÃO DE OBRA, TRANSPORTE E IÇAMENTO UTILIZANDO GUINDASTE - FORNECIMENTO E INSTALAÇÃO. AF_01/2020_P</t>
  </si>
  <si>
    <t>VIGA METÁLICA EM PERFIL LAMINADO ASTM A572 G.50, EM AÇO ESTRUTURAL, COM CONEXÕES SOLDADAS, INCLUSOS MÃO DE OBRA, TRANSPORTE E IÇAMENTO UTILIZANDO GUINDASTE - FORNECIMENTO E INSTALAÇÃO. AF_01/2020_P</t>
  </si>
  <si>
    <t>06.00.00 - ESTRUTURAS METÁLICAS - PERFIS W - SUBTOTAL</t>
  </si>
  <si>
    <t>CRONOGRAMA FÍSICO - PARTE 1/2</t>
  </si>
  <si>
    <t>CRONOGRAMA FÍSICO - PARTE 2/2</t>
  </si>
  <si>
    <t>INSC. ESTADUAL 315.076.056.114</t>
  </si>
  <si>
    <t>Franca/SP</t>
  </si>
  <si>
    <t>sexta-feira, 18 de junho de 2022</t>
  </si>
  <si>
    <r>
      <rPr>
        <b/>
        <sz val="8"/>
        <color theme="1"/>
        <rFont val="Calibri"/>
        <family val="2"/>
        <scheme val="minor"/>
      </rPr>
      <t>01.00.00 </t>
    </r>
    <r>
      <rPr>
        <sz val="8"/>
        <color theme="1"/>
        <rFont val="Calibri"/>
        <family val="2"/>
        <scheme val="minor"/>
      </rPr>
      <t xml:space="preserve">  SERVIÇOS PRELIMINARES </t>
    </r>
  </si>
  <si>
    <r>
      <rPr>
        <b/>
        <sz val="8"/>
        <color theme="1"/>
        <rFont val="Calibri"/>
        <family val="2"/>
        <scheme val="minor"/>
      </rPr>
      <t>02.00.00</t>
    </r>
    <r>
      <rPr>
        <sz val="8"/>
        <color theme="1"/>
        <rFont val="Calibri"/>
        <family val="2"/>
        <scheme val="minor"/>
      </rPr>
      <t xml:space="preserve"> - CANTEIRO DE OBRAS</t>
    </r>
  </si>
  <si>
    <r>
      <rPr>
        <b/>
        <sz val="8"/>
        <color theme="1"/>
        <rFont val="Calibri"/>
        <family val="2"/>
        <scheme val="minor"/>
      </rPr>
      <t>03.00.00</t>
    </r>
    <r>
      <rPr>
        <sz val="8"/>
        <color theme="1"/>
        <rFont val="Calibri"/>
        <family val="2"/>
        <scheme val="minor"/>
      </rPr>
      <t xml:space="preserve"> - MOVIMENTO DE TERRA</t>
    </r>
  </si>
  <si>
    <r>
      <rPr>
        <b/>
        <sz val="8"/>
        <color theme="1"/>
        <rFont val="Calibri"/>
        <family val="2"/>
        <scheme val="minor"/>
      </rPr>
      <t>04.00.00</t>
    </r>
    <r>
      <rPr>
        <sz val="8"/>
        <color theme="1"/>
        <rFont val="Calibri"/>
        <family val="2"/>
        <scheme val="minor"/>
      </rPr>
      <t xml:space="preserve"> - FUNDAÇÕES</t>
    </r>
  </si>
  <si>
    <r>
      <rPr>
        <b/>
        <sz val="8"/>
        <color theme="1"/>
        <rFont val="Calibri"/>
        <family val="2"/>
        <scheme val="minor"/>
      </rPr>
      <t>05.00.00</t>
    </r>
    <r>
      <rPr>
        <sz val="8"/>
        <color theme="1"/>
        <rFont val="Calibri"/>
        <family val="2"/>
        <scheme val="minor"/>
      </rPr>
      <t xml:space="preserve"> - ESTRUTURA DE CONCRETO</t>
    </r>
  </si>
  <si>
    <r>
      <rPr>
        <b/>
        <sz val="8"/>
        <color theme="1"/>
        <rFont val="Calibri"/>
        <family val="2"/>
        <scheme val="minor"/>
      </rPr>
      <t>06.00.00</t>
    </r>
    <r>
      <rPr>
        <sz val="8"/>
        <color theme="1"/>
        <rFont val="Calibri"/>
        <family val="2"/>
        <scheme val="minor"/>
      </rPr>
      <t xml:space="preserve"> - ESTRUTURAS METÁLICAS - PERFIS W</t>
    </r>
  </si>
  <si>
    <r>
      <rPr>
        <b/>
        <sz val="8"/>
        <color theme="1"/>
        <rFont val="Calibri"/>
        <family val="2"/>
        <scheme val="minor"/>
      </rPr>
      <t>07.00.00</t>
    </r>
    <r>
      <rPr>
        <sz val="8"/>
        <color theme="1"/>
        <rFont val="Calibri"/>
        <family val="2"/>
        <scheme val="minor"/>
      </rPr>
      <t xml:space="preserve"> -ALVENARIA</t>
    </r>
  </si>
  <si>
    <r>
      <rPr>
        <b/>
        <sz val="8"/>
        <color theme="1"/>
        <rFont val="Calibri"/>
        <family val="2"/>
        <scheme val="minor"/>
      </rPr>
      <t>08.00.00</t>
    </r>
    <r>
      <rPr>
        <sz val="8"/>
        <color theme="1"/>
        <rFont val="Calibri"/>
        <family val="2"/>
        <scheme val="minor"/>
      </rPr>
      <t xml:space="preserve"> -ESQUADRIAS </t>
    </r>
  </si>
  <si>
    <r>
      <rPr>
        <b/>
        <sz val="8"/>
        <color theme="1"/>
        <rFont val="Calibri"/>
        <family val="2"/>
        <scheme val="minor"/>
      </rPr>
      <t>09.00.00</t>
    </r>
    <r>
      <rPr>
        <sz val="8"/>
        <color theme="1"/>
        <rFont val="Calibri"/>
        <family val="2"/>
        <scheme val="minor"/>
      </rPr>
      <t xml:space="preserve"> -PORTÕES </t>
    </r>
  </si>
  <si>
    <r>
      <rPr>
        <b/>
        <sz val="8"/>
        <color theme="1"/>
        <rFont val="Calibri"/>
        <family val="2"/>
        <scheme val="minor"/>
      </rPr>
      <t>10.00.00</t>
    </r>
    <r>
      <rPr>
        <sz val="8"/>
        <color theme="1"/>
        <rFont val="Calibri"/>
        <family val="2"/>
        <scheme val="minor"/>
      </rPr>
      <t xml:space="preserve"> -COBERTURA</t>
    </r>
  </si>
  <si>
    <r>
      <rPr>
        <b/>
        <sz val="8"/>
        <color theme="1"/>
        <rFont val="Calibri"/>
        <family val="2"/>
        <scheme val="minor"/>
      </rPr>
      <t>11.00.00</t>
    </r>
    <r>
      <rPr>
        <sz val="8"/>
        <color theme="1"/>
        <rFont val="Calibri"/>
        <family val="2"/>
        <scheme val="minor"/>
      </rPr>
      <t xml:space="preserve"> - REVESTIMENTO </t>
    </r>
  </si>
  <si>
    <r>
      <rPr>
        <b/>
        <sz val="8"/>
        <color theme="1"/>
        <rFont val="Calibri"/>
        <family val="2"/>
        <scheme val="minor"/>
      </rPr>
      <t>12.00.00</t>
    </r>
    <r>
      <rPr>
        <sz val="8"/>
        <color theme="1"/>
        <rFont val="Calibri"/>
        <family val="2"/>
        <scheme val="minor"/>
      </rPr>
      <t xml:space="preserve"> - PAVIMENTAÇÃO</t>
    </r>
  </si>
  <si>
    <r>
      <rPr>
        <b/>
        <sz val="8"/>
        <color theme="1"/>
        <rFont val="Calibri"/>
        <family val="2"/>
        <scheme val="minor"/>
      </rPr>
      <t>13.00.00</t>
    </r>
    <r>
      <rPr>
        <sz val="8"/>
        <color theme="1"/>
        <rFont val="Calibri"/>
        <family val="2"/>
        <scheme val="minor"/>
      </rPr>
      <t xml:space="preserve"> - SOLEIRAS, RODAPÉS E PEITORIS </t>
    </r>
  </si>
  <si>
    <r>
      <rPr>
        <b/>
        <sz val="8"/>
        <color theme="1"/>
        <rFont val="Calibri"/>
        <family val="2"/>
        <scheme val="minor"/>
      </rPr>
      <t xml:space="preserve">14.00.00 </t>
    </r>
    <r>
      <rPr>
        <sz val="8"/>
        <color theme="1"/>
        <rFont val="Calibri"/>
        <family val="2"/>
        <scheme val="minor"/>
      </rPr>
      <t xml:space="preserve">- PINTURA </t>
    </r>
  </si>
  <si>
    <r>
      <rPr>
        <b/>
        <sz val="8"/>
        <color theme="1"/>
        <rFont val="Calibri"/>
        <family val="2"/>
        <scheme val="minor"/>
      </rPr>
      <t>15.00.00</t>
    </r>
    <r>
      <rPr>
        <sz val="8"/>
        <color theme="1"/>
        <rFont val="Calibri"/>
        <family val="2"/>
        <scheme val="minor"/>
      </rPr>
      <t xml:space="preserve"> INSTALAÇÕES HIDRÁULICAS, SANITÁRIAS E ÁGUAS PLUVIAIS </t>
    </r>
  </si>
  <si>
    <r>
      <rPr>
        <b/>
        <sz val="8"/>
        <color theme="1"/>
        <rFont val="Calibri"/>
        <family val="2"/>
        <scheme val="minor"/>
      </rPr>
      <t>16.00.00</t>
    </r>
    <r>
      <rPr>
        <sz val="8"/>
        <color theme="1"/>
        <rFont val="Calibri"/>
        <family val="2"/>
        <scheme val="minor"/>
      </rPr>
      <t xml:space="preserve"> - INSTALAÇÕES ELÉTRICAS TELEFONICA E CABEAMENTO ESTRUTURADO</t>
    </r>
  </si>
  <si>
    <r>
      <rPr>
        <b/>
        <sz val="8"/>
        <color theme="1"/>
        <rFont val="Calibri"/>
        <family val="2"/>
        <scheme val="minor"/>
      </rPr>
      <t>18.00.00</t>
    </r>
    <r>
      <rPr>
        <sz val="8"/>
        <color theme="1"/>
        <rFont val="Calibri"/>
        <family val="2"/>
        <scheme val="minor"/>
      </rPr>
      <t xml:space="preserve"> - SISTEMA DE PROTEÇÃO DE DESCARGAS ATMOSFÉRICAS (SPDA)</t>
    </r>
  </si>
  <si>
    <r>
      <rPr>
        <b/>
        <sz val="8"/>
        <color theme="1"/>
        <rFont val="Calibri"/>
        <family val="2"/>
        <scheme val="minor"/>
      </rPr>
      <t>19.00.00</t>
    </r>
    <r>
      <rPr>
        <sz val="8"/>
        <color theme="1"/>
        <rFont val="Calibri"/>
        <family val="2"/>
        <scheme val="minor"/>
      </rPr>
      <t xml:space="preserve"> - INSTALAÇÕES MECÂNICAS E DE UTILIDADES - AR CONDICIONADP VRF</t>
    </r>
  </si>
  <si>
    <r>
      <rPr>
        <b/>
        <sz val="8"/>
        <color theme="1"/>
        <rFont val="Calibri"/>
        <family val="2"/>
        <scheme val="minor"/>
      </rPr>
      <t>20.00.00</t>
    </r>
    <r>
      <rPr>
        <sz val="8"/>
        <color theme="1"/>
        <rFont val="Calibri"/>
        <family val="2"/>
        <scheme val="minor"/>
      </rPr>
      <t xml:space="preserve"> - INSTALAÇÕES DE COMBATE E PREVENÇÃO A INCÊNDIO </t>
    </r>
  </si>
  <si>
    <r>
      <t>RODAPÉ CERÂMICO DE</t>
    </r>
    <r>
      <rPr>
        <b/>
        <i/>
        <sz val="8"/>
        <rFont val="Arial"/>
        <family val="2"/>
      </rPr>
      <t xml:space="preserve"> 7CM</t>
    </r>
    <r>
      <rPr>
        <sz val="8"/>
        <rFont val="Arial"/>
        <family val="2"/>
      </rPr>
      <t xml:space="preserve"> DE ALTURA COM PLACAS TIPO ESMALTADA EXTRA DE DIMENSÕES 60X60CM. AF_06/2014</t>
    </r>
  </si>
  <si>
    <t>CÓDIGO</t>
  </si>
  <si>
    <t>REF</t>
  </si>
  <si>
    <t>SINAPI</t>
  </si>
  <si>
    <t>CDHU</t>
  </si>
  <si>
    <t>05.07.040</t>
  </si>
  <si>
    <t>02.08.020</t>
  </si>
  <si>
    <t>LOCACAO CONVENCIONAL DE OBRA, COM EQUIPE TÉCNICA (TOPOGRAFO + AJUDANTE) UTILIZANDO GABARITO DE TÁBUAS CORRIDAS PONTALETADAS A CADA 2,00M - 2 UTILIZAÇÕES</t>
  </si>
  <si>
    <t>ESTACA PRÉ-MOLDADA DE CONCRETO CAPACIDADE DE 50 TONELADAS</t>
  </si>
  <si>
    <t>04.01.02</t>
  </si>
  <si>
    <t>12.05.030</t>
  </si>
  <si>
    <t>ESTACA ESCAVADA MECANICAMENTE, DIÂMETRO DE 30 cm ATÉ 30 t</t>
  </si>
  <si>
    <t>12.05.010</t>
  </si>
  <si>
    <t>TAXA DE MOBILIZAÇÃO E DESMOBILIZAÇÃO DE EQ. PARA EXECUÇÃO DE ESTACAS ESCAVADAS</t>
  </si>
  <si>
    <t>tx</t>
  </si>
  <si>
    <t>12.04.010</t>
  </si>
  <si>
    <t>TAXA DE MOBILIZAÇÃO E DESMOBILIZAÇÃO DE EQ. PARA EXECUÇÃO DE ESTACAS PRÉ-MOLD.</t>
  </si>
  <si>
    <t>Subtotal item 04.01.00</t>
  </si>
  <si>
    <t>04.02.10</t>
  </si>
  <si>
    <t>REATERRO MANUAL APILOADO DE ÁREA INTERNA COM MAÇO DE 30kg</t>
  </si>
  <si>
    <t>06.12.020</t>
  </si>
  <si>
    <t>04.03.13</t>
  </si>
  <si>
    <t>MURO DE ARRIMO EM BLOCOS DE CONCRETO 19X19X39 (ESPESSURA 19 CM) E ARGAMASSA DE ASSENTAMENTO COM PREFPARO EM BETONEIRA. AF_12/2021</t>
  </si>
  <si>
    <t>04.03.14</t>
  </si>
  <si>
    <t>FDE</t>
  </si>
  <si>
    <t>103326</t>
  </si>
  <si>
    <t>PORTA DE ABRIR 2 FLS  L. 2,00M X ALT. 2,10M</t>
  </si>
  <si>
    <t>23.09.630</t>
  </si>
  <si>
    <t>24.02.070</t>
  </si>
  <si>
    <t>PORTA DE FERRO DE ABRIR TIPO VENEZIANA 1,00x1,60m LINHA COMERCIAL</t>
  </si>
  <si>
    <t>23.20.120</t>
  </si>
  <si>
    <t>GUARNIÇÃO DE MADEIRA</t>
  </si>
  <si>
    <t>25.01.050</t>
  </si>
  <si>
    <t>CAIXILHO EM ALUMÍNIO MAXIM-AIR COM VIDRO, LINHA COMERCIAL</t>
  </si>
  <si>
    <t>24.01.100</t>
  </si>
  <si>
    <t>CAIXILHO DE FERRO TIPO VENEZIA, LINHA COMERCIAL</t>
  </si>
  <si>
    <t>25.01.100</t>
  </si>
  <si>
    <r>
      <t>ESQUADRIA DE ALUMÍNIO TIPO</t>
    </r>
    <r>
      <rPr>
        <b/>
        <i/>
        <u/>
        <sz val="8"/>
        <rFont val="Arial"/>
        <family val="2"/>
      </rPr>
      <t xml:space="preserve"> </t>
    </r>
    <r>
      <rPr>
        <sz val="8"/>
        <rFont val="Arial"/>
        <family val="2"/>
      </rPr>
      <t>VENEZIANA, SOB MEDIDA PARA INSPEÇÃO</t>
    </r>
  </si>
  <si>
    <t>ESQUADRIAS DE VIDRO E METAL</t>
  </si>
  <si>
    <t>26.02.120</t>
  </si>
  <si>
    <t>08.02.05</t>
  </si>
  <si>
    <t>08.02.06</t>
  </si>
  <si>
    <t>CORRIMÃO EM TUBO DE AÇO INOXIDÁVEL ESCOVADO D=11/2" E MONTANTES D=2"</t>
  </si>
  <si>
    <t>CORRIMÃO TUBULAR EM AÇO GALVANIZADO 11/2"</t>
  </si>
  <si>
    <t>24.03.310</t>
  </si>
  <si>
    <t>24.08.040</t>
  </si>
  <si>
    <t>08.02.07</t>
  </si>
  <si>
    <t>34.05.260</t>
  </si>
  <si>
    <t>GRADIL EM AÇO GALVANIZADO ELETROFUNDIDO, MALHA 65X132mm E PINTURA ELETROSTÁTICA, H=0,90m</t>
  </si>
  <si>
    <t>10.01.02</t>
  </si>
  <si>
    <t>10.01.03</t>
  </si>
  <si>
    <t>CUMEEIRA EM CHAPA DE AÇO PRÉ‐PINTADA COM EPÓXI E POLIÉSTER, PERFIL TRAPEZOIDAL, COM ESPESSURA DE 0,50 MM</t>
  </si>
  <si>
    <t>16.12.200</t>
  </si>
  <si>
    <t>EMBOÇO, PARA RECEBIMENTO DE CERÂMICA, EM ARGAMASSA TRAÇO 1:2:8, PREPARO MECÂNICO COM BETONEIRA 400L, APLICADO MANUALMENTE EM FACES INTERNAS DE PAREDES, PARA AMBIENTE COM ÁREA MENOR QUE 5M2, ESPESSURA DE 20MM, COM EXECUÇÃO DE TALISCAS. AF_06/2014</t>
  </si>
  <si>
    <t>PISO VINÍLICO SEMI-FLEXÍVEL EM PLACAS, PADRÃO LISO, ESPESSURA 3,2 MM, FIXADO COM COLA. AF_09/2020</t>
  </si>
  <si>
    <t>11.03.04</t>
  </si>
  <si>
    <t>21.10.071</t>
  </si>
  <si>
    <t>RODAPÉ FLEXÍVEL PARA PISO VINÍLICO EM PVC, ESPESSURA DE 2 MM E ALTURA DE 7,5CM, CURVO/PLANO, COM IMPERMEABILIZANTE ACRÍLICO</t>
  </si>
  <si>
    <t>BRISE METÁLICO FIXO EM CHAPA LISA ALUZINC PRÉ‐PINTADA, FORMATO OGIVA, LÂMINA FRONTAL DE 200MM</t>
  </si>
  <si>
    <t>22.06.240</t>
  </si>
  <si>
    <t>REJUNTAMENTO DE RODAPÉ EM PLACAS CERÂMICAS COM ARGAMASSA INDUSTRIALIZADA PARA REJUNTE, ALTURA ATÉ 10 CM, JUNTAS ACIMA DE 3 ATÉ 5 MM</t>
  </si>
  <si>
    <t>18.06.510</t>
  </si>
  <si>
    <t>13.01.04</t>
  </si>
  <si>
    <t>SOLEIRA EM GRANITO, LARGURA ATÉ 20 CM, ESPESSURA 2,0 CM. AF_09/2020</t>
  </si>
  <si>
    <t>PEITORIL DE GRANITO , ESPESSURA DE 2 CM E LARGURA ATÉ 20cm, ACABAMENTO POLIDO</t>
  </si>
  <si>
    <t>KIT DE ACESSORIOS PARA BANHEIRO EM METAL CROMADO, 5 PECAS, INCLUSO FIXAÇÃO. AF_01/2020</t>
  </si>
  <si>
    <t>43.02.160</t>
  </si>
  <si>
    <t>15.06.09</t>
  </si>
  <si>
    <t>15.06.10</t>
  </si>
  <si>
    <t>15.06.11</t>
  </si>
  <si>
    <t>15.06.14</t>
  </si>
  <si>
    <t>15.06.15</t>
  </si>
  <si>
    <t>REGULADOR DE PRIMEIRO ESTÁGIO DE ALTA PRESSÃO ATÉ 1,3 KGF/CM², VAZÃO DE 50KG GLP/HORA</t>
  </si>
  <si>
    <t>45.20.020</t>
  </si>
  <si>
    <t>CILINDRO DE GÁS (GLP) DE 45 KG, COM CARGA</t>
  </si>
  <si>
    <t>PIG TAIL OU CHICOTE FLEXÍVEL REVESTIMENTO EM BORRACHA SINTÉTICA RESISTENTE, DN= 7/16´ X 1,00 M</t>
  </si>
  <si>
    <t>VÁLVULA DE RETENÇÃO HORIZONTAL, DE BRONZE (PN-25) 1/2", 400 PSI, TAMPA E PORCA DE UNIÃO, EXTREMIDADES COM ROSCA</t>
  </si>
  <si>
    <t>MANOMETRO COM CAIXA EM ACO PINTADO, ESCALA *60* KGF/CM2 (*60* BAR), DIAMETRO NOMINAL DE *63* MM, CONEXAO DE 1/4"</t>
  </si>
  <si>
    <t>QUADRO DE DISTRIBUIÇÃO UNIVERSAL DE EMBUTIR, PARA DISJUNTORES 70 DIN / 50 BOLT‐ON ‐ 225 A ‐ SEM COMPONENTES</t>
  </si>
  <si>
    <t>37.03.250</t>
  </si>
  <si>
    <t>TOMADA PARA TV, TIPO PINO JACK, COM PLACA</t>
  </si>
  <si>
    <t>69.20.340</t>
  </si>
  <si>
    <t>LUMINÁRIA LED QUADRADA DE SOBREPOR COM DIFUSOR PRISMÁTICO TRANSLÚCIDO, 4000 K, FLUXO LUMINOSO DE 1363 A 1800 LM, POTÊNCIA DE 15 W A 24 W</t>
  </si>
  <si>
    <t>41.31.040</t>
  </si>
  <si>
    <t>38.21.310</t>
  </si>
  <si>
    <t>38.22.160</t>
  </si>
  <si>
    <t>ELETROCALHA PERFURADA TIPO C 400X100MM S/ TAMPA CHAPA 18, COM ACESSÓRIOS</t>
  </si>
  <si>
    <t>ELETROCALHA PERFURADA TIPO C 200X100MM S/ TAMPA CHAPA 18, COM ACESSÓRIOS</t>
  </si>
  <si>
    <t>ELETROCALHA PERFURADA TIPO C 150X100MM S/ TAMPA CHAPA 18, COM ACESSÓRIOS</t>
  </si>
  <si>
    <t>ELETROCALHA PERFURADA TIPO C 100X100MM S/ TAMPA CHAPA 18, COM ACESSÓRIOS</t>
  </si>
  <si>
    <t>ELETROCALHA PERFURADA TIPO U 150X100MM S/ TAMPA CHAPA 18, COM ACESSÓRIOS</t>
  </si>
  <si>
    <t>ELETROCALHA PERFURADA TIPO U 100X100MM S/ TAMPA CHAPA 18, COM ACESSÓRIOS</t>
  </si>
  <si>
    <t>38.22.130</t>
  </si>
  <si>
    <t>38.22.120</t>
  </si>
  <si>
    <t>TAMPA DE ENCAIXE ELETROCALHA PERFURADA TIPO C L=400MM</t>
  </si>
  <si>
    <t>38.22.670</t>
  </si>
  <si>
    <t>SUPORTE PARA ELETROCALHA, GALVANIZADA A FOGO, 400X100MM</t>
  </si>
  <si>
    <t>38.22.640</t>
  </si>
  <si>
    <t>TAMPA DE ENCAIXE ELETROCALHA PERFURADA TIPO C L=200MM</t>
  </si>
  <si>
    <t>SUPORTE PARA ELETROCALHA, GALVANIZADA A FOGO, 200X100MM</t>
  </si>
  <si>
    <t>TAMPA DE ENCAIXE ELETROCALHA PERFURADA TIPO C L=150MM</t>
  </si>
  <si>
    <t>38.22.630</t>
  </si>
  <si>
    <t>SUPORTE PARA ELETROCALHA, GALVANIZADA A FOGO, 150X100MM</t>
  </si>
  <si>
    <t>38.23.120</t>
  </si>
  <si>
    <t>38.23.130</t>
  </si>
  <si>
    <t>38.23.160</t>
  </si>
  <si>
    <t>TAMPA DE ENCAIXE ELETROCALHA PERFURADA TIPO C L=100MM</t>
  </si>
  <si>
    <t>SUPORTE PARA ELETROCALHA, GALVANIZADA A FOGO, 100X100MM</t>
  </si>
  <si>
    <t>38.22.620</t>
  </si>
  <si>
    <t>38.23.110</t>
  </si>
  <si>
    <t>TAMPA DE ENCAIXE ELETROCALHA PERFURADA TIPO U L=150MM</t>
  </si>
  <si>
    <t>16.01.71</t>
  </si>
  <si>
    <t>16.01.72</t>
  </si>
  <si>
    <t>16.01.73</t>
  </si>
  <si>
    <t>16.01.74</t>
  </si>
  <si>
    <t>16.01.75</t>
  </si>
  <si>
    <t>16.01.76</t>
  </si>
  <si>
    <t>16.01.78</t>
  </si>
  <si>
    <t>16.01.79</t>
  </si>
  <si>
    <t>66.02.500</t>
  </si>
  <si>
    <t>CENTRAL DE ALARME MICROPROCESSADA PARA ATÉ 125 SETORES - FORNECIMENTO E INSTALAÇÃO</t>
  </si>
  <si>
    <t>ELEVADOR PARA PASSAGEIROS, USO INTERNO COM CAPACIDADE MÍNIMA DE 600 KG PARA TRÊS PARADAS, PORTAS UNILATERAIS</t>
  </si>
  <si>
    <t>61.01.680</t>
  </si>
  <si>
    <t>ELEVADOR PARA PASSAGEIROS, USO INTERNO COM CAPACIDADE MÍNIMA DE 600 KG PARA QUATRO PARADAS, PORTAS UNILATERAIS</t>
  </si>
  <si>
    <t>61.01.770</t>
  </si>
  <si>
    <t>42.20.150</t>
  </si>
  <si>
    <t>37.10.010</t>
  </si>
  <si>
    <t>19.04.8084</t>
  </si>
  <si>
    <t>19.04.8002</t>
  </si>
  <si>
    <t>19.04.8007</t>
  </si>
  <si>
    <t>VÁLVULA DE ESFERA MONOBLOCO EM LATÃO, PASSAGEM PLENA, ACIONAMENTO COM ALAVANCA, DN= 3/4´</t>
  </si>
  <si>
    <t>47.01.180</t>
  </si>
  <si>
    <t>43.08.001</t>
  </si>
  <si>
    <t>CONDENSADOR PARA SISTEMA VRF DE AR CONDICIONADO, CAPACIDADE ATÉ 6 TR (28HP)</t>
  </si>
  <si>
    <t>43.08.002</t>
  </si>
  <si>
    <t>CONDENSADOR PARA SISTEMA VRF DE AR CONDICIONADO, CAPACIDADE DE 8 TR A 10 TR</t>
  </si>
  <si>
    <t>43.08.020</t>
  </si>
  <si>
    <t>EVAPORADOR PARA SISTEMA VRF DE AR CONDICIONADO, TIPO PAREDE, CAPACIDADE DE 1 TR</t>
  </si>
  <si>
    <t>EVAPORADOR PARA SISTEMA VRF DE AR CONDICIONADO, TIPO PAREDE, CAPACIDADE DE 2 TR</t>
  </si>
  <si>
    <t>43.08.021</t>
  </si>
  <si>
    <t>EVAPORADOR PARA SISTEMA VRF DE AR CONDICIONADO, TIPO PISO TETO, CAPACIDADE DE 2 TR</t>
  </si>
  <si>
    <t>43.08.031</t>
  </si>
  <si>
    <t>EVAPORADOR PARA SISTEMA VRF DE AR CONDICIONADO, TIPO PISO TETO, CAPACIDADE DE 3 TR</t>
  </si>
  <si>
    <t>43.08.032</t>
  </si>
  <si>
    <t>CENTRAL DE ALARME CONTRA INCÊNDIO COMPLETA, AUTONOMIA 1 HORA</t>
  </si>
  <si>
    <t>50.05.420</t>
  </si>
  <si>
    <t>97.02.193</t>
  </si>
  <si>
    <t>PLACA DE SINALIZAÇÃO DE PVC FOTOLUMINESCENTE (200X200MM) PARA INCÊNDIO</t>
  </si>
  <si>
    <t>20.01.20</t>
  </si>
  <si>
    <t>33.07.303</t>
  </si>
  <si>
    <t>PROTEÇÃO PASSIVA CONTRA INCÊNDIO COM TINTA INTUMESCENTE, COM TEMPO REQUERIDO DE RESISTÊNCIA AO FOGO TRRF = 60 MIN ‐ APLICAÇÃO EM ESTRUTURA METÁLICA</t>
  </si>
  <si>
    <t>22.01.01</t>
  </si>
  <si>
    <t>55.01.020</t>
  </si>
  <si>
    <t>LIMPEZA FINAL DA OBRA (PISOS, PAREDES, VIDROS, ÁREAS EXTERNAS, BANCADAS, LOUÇAS, METAIS, ETC., INCLUSIVE VARREÇÃO)</t>
  </si>
  <si>
    <t>05.03.11</t>
  </si>
  <si>
    <t>IMPERMEABILIZAÇÃO EM MEMBRANA DE ASFALTO MODIFICADO COM ELASTÔMEROS, NA COR PRETA E REFORÇO EM TELA POLIÉSTER</t>
  </si>
  <si>
    <t>32.16.040</t>
  </si>
  <si>
    <t>BDI COM desoneração (Fórmula Acórdão TCU)</t>
  </si>
  <si>
    <t>BDI SEM desoneração</t>
  </si>
  <si>
    <t>CONCRETO USINADO, FCK = 30 MPA ‐ PARA BOMBEAMENTO - COM CONTROLE TECNOLÓGICO</t>
  </si>
  <si>
    <t>11.01.320</t>
  </si>
  <si>
    <t>22.01.02</t>
  </si>
  <si>
    <t>23.00.00</t>
  </si>
  <si>
    <t>23.01.01</t>
  </si>
  <si>
    <t>21.01.03</t>
  </si>
  <si>
    <t>21.01.04</t>
  </si>
  <si>
    <t>21.01.05</t>
  </si>
  <si>
    <t>21.01.06</t>
  </si>
  <si>
    <t>21.01.07</t>
  </si>
  <si>
    <t>21.01.09</t>
  </si>
  <si>
    <t>21.01.10</t>
  </si>
  <si>
    <t>21.01.11</t>
  </si>
  <si>
    <t>21.01.12</t>
  </si>
  <si>
    <t>22.00.00 - SERVIÇOS COMPLEMENTARES - SUBTOTAL</t>
  </si>
  <si>
    <t>23.00.00 - LIMPEZA E ARREMATES FINAIS - SUBTOTAL</t>
  </si>
  <si>
    <t>INSTALAÇÕES DE ABASTECIMENTO DE GASES MEDICINAIS</t>
  </si>
  <si>
    <t>21.00.00 - INSTALAÇÕES DE ABASTECIMENTO DE GASES MEDICINAIS - SUBTOTAL</t>
  </si>
  <si>
    <t>ORSE</t>
  </si>
  <si>
    <t>CENTRAL MANIFOLD PARA CILINDROS DE ÓXIDO NITROSO 2X2, 2 REGULADORES DE PRESSÃO SEMI AUTOMÁTICO E 2 CHICOTES DE AÇO FLEXÍVEIS</t>
  </si>
  <si>
    <t>CENTRAL MANIFOLD PARA CILINDROS DE AR COMPRIMIDO 1X1, 2 REGULADORES DE PRESSÃO SEMI AUTOMÁTICO E 2 CHICOTESDE AÇO FLEXÍVEIS</t>
  </si>
  <si>
    <t>CENTRAL MANIFOLD PARA CILINDROS 2 X 2 PARA OXIGÊNIO COM 2 REGULADORES DE PRESSÃO SEMI-AUTOMÁTICO E 2 CHICOTES FLEXIVEI, PROTEC OU SIMILAR</t>
  </si>
  <si>
    <t>VALVULA DE SINALIZACAO E ALARME PARA GASES</t>
  </si>
  <si>
    <t>VÁLVULA DE ALTA PRESSÃO PARA CENTRAL MANIFOLD - OXIGÊNIO, AR COMPRIMIDO OU ÓXIDO NITROSO</t>
  </si>
  <si>
    <t>9433</t>
  </si>
  <si>
    <t>CILINDRO DE AR COMPRIMIDO, 50 LITROS COM VALVULA, SEM CARGA</t>
  </si>
  <si>
    <t>CILINDRO DE OXIGÊNIO, 50 LITROS COM VALVULA, SEM CARGA</t>
  </si>
  <si>
    <t>PAINEL MODULAR DE GASES MEDICINAIS,C=1,45M,A=0,30M,COMPOSTO 3 OU 2 MODULOS, CONTENDO 6 SAIDAS PARA GASES,ENTR.P/COMPONENTES</t>
  </si>
  <si>
    <t>CILINDRO DE ÓXIDO NITROSO, 50 LITROS COM VALVULA, SEM CARGA</t>
  </si>
  <si>
    <t>22.00.00 - SERVIÇOS COMPLEMENTARES – SUBTOTAL</t>
  </si>
  <si>
    <r>
      <rPr>
        <b/>
        <sz val="8"/>
        <color theme="1"/>
        <rFont val="Calibri"/>
        <family val="2"/>
        <scheme val="minor"/>
      </rPr>
      <t>22.00.00</t>
    </r>
    <r>
      <rPr>
        <sz val="8"/>
        <color theme="1"/>
        <rFont val="Calibri"/>
        <family val="2"/>
        <scheme val="minor"/>
      </rPr>
      <t xml:space="preserve"> - SERVIÇOS COMPLEMENTARES </t>
    </r>
  </si>
  <si>
    <r>
      <rPr>
        <b/>
        <sz val="8"/>
        <color theme="1"/>
        <rFont val="Calibri"/>
        <family val="2"/>
        <scheme val="minor"/>
      </rPr>
      <t>23.00.00</t>
    </r>
    <r>
      <rPr>
        <sz val="8"/>
        <color theme="1"/>
        <rFont val="Calibri"/>
        <family val="2"/>
        <scheme val="minor"/>
      </rPr>
      <t xml:space="preserve"> - LIMPEZA E ARREMATES FINAIS </t>
    </r>
  </si>
  <si>
    <r>
      <rPr>
        <b/>
        <sz val="8"/>
        <color theme="1"/>
        <rFont val="Calibri"/>
        <family val="2"/>
        <scheme val="minor"/>
      </rPr>
      <t>21.00.00</t>
    </r>
    <r>
      <rPr>
        <sz val="8"/>
        <color theme="1"/>
        <rFont val="Calibri"/>
        <family val="2"/>
        <scheme val="minor"/>
      </rPr>
      <t xml:space="preserve"> - INSTALAÇÕES DE ABASTECIMENTO DE GASES MEDICINAIS</t>
    </r>
  </si>
  <si>
    <r>
      <t>ALVENARIA DE VEDAÇÃO DE BLOCOS CERÂMICOS FURADOS NA VERTICAL DE</t>
    </r>
    <r>
      <rPr>
        <sz val="8"/>
        <color rgb="FFFF0000"/>
        <rFont val="Arial"/>
        <family val="2"/>
      </rPr>
      <t xml:space="preserve"> 19X19 X39</t>
    </r>
    <r>
      <rPr>
        <sz val="8"/>
        <rFont val="Arial"/>
        <family val="2"/>
      </rPr>
      <t>CM (ESPESSURA 19CM) DE PAREDES E ARGAMASSA DE ASSENTAMENTO COM PREPARO EM BETONEIRA. AF_12/2021</t>
    </r>
  </si>
  <si>
    <r>
      <t xml:space="preserve">ALVENARIA DE VEDAÇÃO DE BLOCOS VAZADOS DE CONCRETO APARENTE DE </t>
    </r>
    <r>
      <rPr>
        <sz val="8"/>
        <color rgb="FFFF0000"/>
        <rFont val="Arial"/>
        <family val="2"/>
      </rPr>
      <t>19X19X39</t>
    </r>
    <r>
      <rPr>
        <sz val="8"/>
        <rFont val="Arial"/>
        <family val="2"/>
      </rPr>
      <t xml:space="preserve"> CM (ESPESSURA 19 CM) E ARGAMASSA DE ASSENTAMENTO COM PREPARO MANUAL
. AF_12/2021</t>
    </r>
  </si>
  <si>
    <r>
      <t>ALVENARIA DE EMBASAMENTO COM BLOCO ESTRUTURAL DE CERÂMICA,</t>
    </r>
    <r>
      <rPr>
        <sz val="8"/>
        <color rgb="FFFFFF00"/>
        <rFont val="Arial"/>
        <family val="2"/>
      </rPr>
      <t xml:space="preserve"> </t>
    </r>
    <r>
      <rPr>
        <sz val="8"/>
        <color rgb="FFFF0000"/>
        <rFont val="Arial"/>
        <family val="2"/>
      </rPr>
      <t>DE 14X19X29</t>
    </r>
    <r>
      <rPr>
        <sz val="8"/>
        <color rgb="FFFFFF00"/>
        <rFont val="Arial"/>
        <family val="2"/>
      </rPr>
      <t xml:space="preserve"> </t>
    </r>
    <r>
      <rPr>
        <sz val="8"/>
        <rFont val="Arial"/>
        <family val="2"/>
      </rPr>
      <t>CM E ARGAMASSA DE ASSENTAMENTO COM PREPARO EM BETONEIRA. AF_05/2020</t>
    </r>
  </si>
  <si>
    <t>EXECUÇÃO DE ESCRITÓRIO EM CANTEIRO DE OBRA EM ALVENARIA, NÃO INCLUSO MOBILIÁRIO</t>
  </si>
  <si>
    <t>19.01.062</t>
  </si>
  <si>
    <t>47.20.070</t>
  </si>
  <si>
    <r>
      <t xml:space="preserve">REMOÇÃO DE ENTULHO SEPARADO DE OBRA COM </t>
    </r>
    <r>
      <rPr>
        <b/>
        <i/>
        <sz val="8"/>
        <rFont val="Arial"/>
        <family val="2"/>
      </rPr>
      <t>CAÇAMBA METÁLICA</t>
    </r>
    <r>
      <rPr>
        <sz val="8"/>
        <rFont val="Arial"/>
        <family val="2"/>
      </rPr>
      <t xml:space="preserve"> ‐ TERRA, ALVENARIA, CONCRETO, ARGAMASSA, MADEIRA, PAPEL, PLÁSTICO OU METAL</t>
    </r>
  </si>
  <si>
    <t>&lt;</t>
  </si>
  <si>
    <t>Dados de Vendas</t>
  </si>
  <si>
    <t>Trimestre 1, 2008</t>
  </si>
  <si>
    <t>Trimestre 1, 2011</t>
  </si>
  <si>
    <t>Fórmula</t>
  </si>
  <si>
    <t>Descrição (Resultado)</t>
  </si>
  <si>
    <t>Substitui Vendas por Custo (Dados de Custo)</t>
  </si>
  <si>
    <t>Substitui a primeira ocorrência de "1" por "2" (Trimestre 2, 2008)</t>
  </si>
  <si>
    <t>Substitui a terceira ocorrência de "1" por "2" (Trimestre 1, 2012)</t>
  </si>
  <si>
    <t>92670</t>
  </si>
  <si>
    <t>92676</t>
  </si>
  <si>
    <t>38.04.120</t>
  </si>
  <si>
    <t>38.04.080</t>
  </si>
  <si>
    <t>40.02.100</t>
  </si>
  <si>
    <t>09.06.025</t>
  </si>
  <si>
    <t>M2</t>
  </si>
  <si>
    <t xml:space="preserve">CAIXA DE PASSAGEM 40X40X40 COM TAMPA E DRENO BRITA </t>
  </si>
  <si>
    <t xml:space="preserve">CAIXA RETANGULAR 4" X 4" BAIXA (0,30 M DO PISO), PVC, INSTALADA EM PAREDE - FORNECIMENTO E INSTALAÇÃO. AF_12/2015 </t>
  </si>
  <si>
    <t>38.13.060</t>
  </si>
  <si>
    <t>16.13.070</t>
  </si>
  <si>
    <t>Telhamento em chapa de aço pré-pintada com epóxi e poliéster, tipo sanduíche, espessura de 0,50 mm, com poliuretano</t>
  </si>
  <si>
    <t>l= m</t>
  </si>
  <si>
    <t>M</t>
  </si>
  <si>
    <t>pp</t>
  </si>
  <si>
    <t>sob</t>
  </si>
  <si>
    <t>p=</t>
  </si>
  <si>
    <t>45.03.100</t>
  </si>
  <si>
    <t>HIDRÔMETRO EM BRONZE, DIAMETRO DE 25 mm (1´)</t>
  </si>
  <si>
    <t xml:space="preserve">TE PVC SÉRIE NORMAL, ESG PREDIAL DN 100X100MM JE </t>
  </si>
  <si>
    <t>TE PVC SÉRIE NORMAL, ESG PREDIAL DN 75X75 MM</t>
  </si>
  <si>
    <t>47.20.100</t>
  </si>
  <si>
    <t>PELE DE VIDRO 8MM AZUL ESCURO COM ESTRUTURA METÁLICA EM FACHADA FORNECIMENTO E INSTALAÇÃO(COD25.01.450 +COD26.01.142)</t>
  </si>
  <si>
    <t>COMPOSIÇÃO</t>
  </si>
  <si>
    <t>porta pivotante</t>
  </si>
  <si>
    <t>conj ferragem</t>
  </si>
  <si>
    <t>1 cj</t>
  </si>
  <si>
    <t xml:space="preserve">vidro temperado </t>
  </si>
  <si>
    <t>servente</t>
  </si>
  <si>
    <t>vidraceiro</t>
  </si>
  <si>
    <t>h</t>
  </si>
  <si>
    <t>soma</t>
  </si>
  <si>
    <t xml:space="preserve">a </t>
  </si>
  <si>
    <t>b</t>
  </si>
  <si>
    <t>c</t>
  </si>
  <si>
    <t>d</t>
  </si>
  <si>
    <t>e</t>
  </si>
  <si>
    <t>f</t>
  </si>
  <si>
    <t>g</t>
  </si>
  <si>
    <t>i</t>
  </si>
  <si>
    <t>j</t>
  </si>
  <si>
    <t>k</t>
  </si>
  <si>
    <t>l</t>
  </si>
  <si>
    <t>25.01.450</t>
  </si>
  <si>
    <t>Caixilho em alumínio para pele de vidro, tipo fachada</t>
  </si>
  <si>
    <t>26.01.142</t>
  </si>
  <si>
    <t>Vidro liso laminado colorido de 8 mm</t>
  </si>
  <si>
    <t>TELEFONIA, LOGICA E TRANSMISSAO DE DADOS, EQUIPAMENTOS E SISTEMA</t>
  </si>
  <si>
    <t>69.20</t>
  </si>
  <si>
    <t>Reparos, conservações e complementos - GRUPO 69</t>
  </si>
  <si>
    <t>Tomada para TV, tipo pino Jack, com placa</t>
  </si>
  <si>
    <t>92672</t>
  </si>
  <si>
    <t>09.06.009</t>
  </si>
  <si>
    <t>50.05.270</t>
  </si>
  <si>
    <t>16.33.022</t>
  </si>
  <si>
    <r>
      <t xml:space="preserve">REFERÊNCIAS: </t>
    </r>
    <r>
      <rPr>
        <b/>
        <sz val="8"/>
        <rFont val="Arial"/>
        <family val="2"/>
      </rPr>
      <t xml:space="preserve">SINAPI DATA 13/07/2023; CDHU tab 190 de 13/06/2023; FDE 07/2023. </t>
    </r>
  </si>
  <si>
    <t>03.03.039</t>
  </si>
  <si>
    <t>10.01.04</t>
  </si>
  <si>
    <t>CALHA, RUFO, AFINS EM CHAPA GALVANIZADA Nº 24 - CORTE 0,33 m</t>
  </si>
  <si>
    <t>10.01.05</t>
  </si>
  <si>
    <t>16.33.052</t>
  </si>
  <si>
    <t>Calha, rufo, afins em chapa galvanizada nº 24 - corte 0,50 m</t>
  </si>
  <si>
    <t>11.03.05</t>
  </si>
  <si>
    <t>10.02.020</t>
  </si>
  <si>
    <t>Armadura em tela soldada de aço</t>
  </si>
  <si>
    <t>16.01.77</t>
  </si>
  <si>
    <t>09.01.012</t>
  </si>
  <si>
    <t>TE-12 ENTRADA PRIMÁRIA SIMPLIF. POSTE ÚNICO -NEOENERGIA 300KVA 15KV - 220/127V</t>
  </si>
  <si>
    <t>04.02.11</t>
  </si>
  <si>
    <t>11.16.040</t>
  </si>
  <si>
    <t>Lançamento e adensamento de concreto ou massa em fundação</t>
  </si>
  <si>
    <t>Lançamento e adensamento de concreto ou massa em estrutura</t>
  </si>
  <si>
    <t>11.16.060</t>
  </si>
  <si>
    <t>05.01.08</t>
  </si>
  <si>
    <t>05.02.09</t>
  </si>
  <si>
    <t>05.03.12</t>
  </si>
  <si>
    <t>11.16.080</t>
  </si>
  <si>
    <t>Lançamento e adensamento de concreto ou massa por bombeamento</t>
  </si>
  <si>
    <t>05.03.13</t>
  </si>
  <si>
    <t>05.03.14</t>
  </si>
  <si>
    <t>13.01.130</t>
  </si>
  <si>
    <t>Laje pré-fabricada mista vigota treliçada/lajota cerâmica - LT 12 (8+4) e capa com concreto de 25 MPa</t>
  </si>
  <si>
    <t>ARMADURA EM TELA SOLDADA DE AÇO</t>
  </si>
  <si>
    <t>05.03.15</t>
  </si>
  <si>
    <t>08.02.500</t>
  </si>
  <si>
    <t>CIMBRAMENTO TUBULAR METÁLICO</t>
  </si>
  <si>
    <t>DATA : 05/12/2023</t>
  </si>
  <si>
    <t>11.03.06</t>
  </si>
  <si>
    <t>17.01.020</t>
  </si>
  <si>
    <t>Argamassa de regularização e/ou proteção</t>
  </si>
  <si>
    <t>LAVATÓRIO LOUÇA BRANCA COM COLUNA, 45 X 55CM OU EQUIVALENTE, PADRÃO MÉDIO -  FORNECIMENTO E INSTALAÇÃO. AF_01/2020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</si>
</sst>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\-??_);_(@_)"/>
    <numFmt numFmtId="165" formatCode="General;General"/>
    <numFmt numFmtId="166" formatCode="[$-F800]dddd\,\ mmmm\ dd\,\ yyyy"/>
    <numFmt numFmtId="167" formatCode="dd&quot; de &quot;mmmm&quot; de &quot;yyyy"/>
    <numFmt numFmtId="168" formatCode="&quot;R$&quot;\ #,##0.00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4"/>
      <name val="Arial"/>
      <family val="2"/>
    </font>
    <font>
      <sz val="8"/>
      <color theme="4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sz val="9"/>
      <name val="Arial"/>
      <family val="2"/>
    </font>
    <font>
      <sz val="10"/>
      <name val="Calibri"/>
      <family val="2"/>
    </font>
    <font>
      <sz val="8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i/>
      <sz val="12"/>
      <name val="Calibri"/>
      <family val="2"/>
    </font>
    <font>
      <i/>
      <u/>
      <sz val="12"/>
      <name val="Calibri"/>
      <family val="2"/>
    </font>
    <font>
      <u/>
      <sz val="10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8"/>
      <name val="Calibri"/>
      <family val="2"/>
      <scheme val="minor"/>
    </font>
    <font>
      <sz val="9.5"/>
      <name val="Calibri"/>
      <family val="2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4"/>
      <name val="Calibri"/>
      <family val="2"/>
      <scheme val="minor"/>
    </font>
    <font>
      <b/>
      <sz val="8"/>
      <color theme="4"/>
      <name val="Calibri"/>
      <family val="2"/>
      <scheme val="minor"/>
    </font>
    <font>
      <b/>
      <sz val="8"/>
      <color rgb="FFC00000"/>
      <name val="Arial"/>
      <family val="2"/>
    </font>
    <font>
      <b/>
      <i/>
      <u/>
      <sz val="8"/>
      <name val="Arial"/>
      <family val="2"/>
    </font>
    <font>
      <b/>
      <i/>
      <sz val="8"/>
      <name val="Arial"/>
      <family val="2"/>
    </font>
    <font>
      <u/>
      <sz val="11"/>
      <color theme="10"/>
      <name val="Calibri"/>
      <family val="2"/>
      <scheme val="minor"/>
    </font>
    <font>
      <sz val="8"/>
      <color rgb="FF333333"/>
      <name val="Helvetica"/>
      <family val="2"/>
    </font>
    <font>
      <sz val="8"/>
      <color theme="1"/>
      <name val="Helvetica"/>
      <family val="2"/>
    </font>
    <font>
      <sz val="8"/>
      <color rgb="FFFFFF00"/>
      <name val="Arial"/>
      <family val="2"/>
    </font>
    <font>
      <sz val="8"/>
      <color rgb="FFFF0000"/>
      <name val="Arial"/>
      <family val="2"/>
    </font>
    <font>
      <sz val="10"/>
      <color rgb="FF333333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color theme="1"/>
      <name val="Arial"/>
      <family val="2"/>
    </font>
    <font>
      <sz val="8"/>
      <color rgb="FF333333"/>
      <name val="Arial"/>
      <family val="2"/>
    </font>
    <font>
      <b/>
      <sz val="8"/>
      <color rgb="FF333333"/>
      <name val="Arial"/>
      <family val="2"/>
    </font>
    <font>
      <sz val="11"/>
      <color rgb="FF333333"/>
      <name val="Helvetica"/>
      <family val="2"/>
    </font>
    <font>
      <u/>
      <sz val="8"/>
      <color theme="10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rgb="FF333333"/>
      <name val="Calibri"/>
      <family val="2"/>
      <scheme val="minor"/>
    </font>
    <font>
      <sz val="10"/>
      <color rgb="FF333333"/>
      <name val="Calibri"/>
      <family val="2"/>
    </font>
    <font>
      <b/>
      <sz val="6"/>
      <name val="Arial"/>
      <family val="2"/>
    </font>
    <font>
      <b/>
      <sz val="8"/>
      <color rgb="FF00B0F0"/>
      <name val="Arial"/>
      <family val="2"/>
    </font>
    <font>
      <sz val="9"/>
      <color rgb="FF333333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31"/>
        <bgColor indexed="42"/>
      </patternFill>
    </fill>
    <fill>
      <patternFill patternType="solid">
        <fgColor indexed="22"/>
        <bgColor indexed="4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9F9F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0" fillId="0" borderId="0"/>
    <xf numFmtId="0" fontId="14" fillId="0" borderId="0"/>
    <xf numFmtId="164" fontId="10" fillId="0" borderId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455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justify"/>
    </xf>
    <xf numFmtId="0" fontId="3" fillId="0" borderId="1" xfId="0" applyFont="1" applyBorder="1" applyAlignment="1">
      <alignment vertical="justify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/>
    <xf numFmtId="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2" applyFont="1"/>
    <xf numFmtId="0" fontId="11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11" fillId="0" borderId="3" xfId="2" applyFont="1" applyBorder="1" applyAlignment="1">
      <alignment horizontal="center"/>
    </xf>
    <xf numFmtId="10" fontId="13" fillId="0" borderId="3" xfId="2" applyNumberFormat="1" applyFont="1" applyBorder="1" applyAlignment="1">
      <alignment horizontal="center"/>
    </xf>
    <xf numFmtId="0" fontId="11" fillId="0" borderId="0" xfId="2" applyFont="1"/>
    <xf numFmtId="0" fontId="11" fillId="0" borderId="3" xfId="2" applyFont="1" applyBorder="1" applyAlignment="1">
      <alignment horizontal="center" vertical="center" wrapText="1"/>
    </xf>
    <xf numFmtId="1" fontId="16" fillId="0" borderId="0" xfId="0" applyNumberFormat="1" applyFont="1" applyAlignment="1">
      <alignment horizontal="center" vertical="center"/>
    </xf>
    <xf numFmtId="0" fontId="14" fillId="0" borderId="0" xfId="2" applyFont="1" applyAlignment="1">
      <alignment horizontal="left"/>
    </xf>
    <xf numFmtId="0" fontId="18" fillId="0" borderId="3" xfId="2" applyFont="1" applyBorder="1" applyAlignment="1">
      <alignment horizontal="center" vertical="center"/>
    </xf>
    <xf numFmtId="10" fontId="18" fillId="3" borderId="3" xfId="2" applyNumberFormat="1" applyFont="1" applyFill="1" applyBorder="1" applyAlignment="1" applyProtection="1">
      <alignment horizontal="center" vertical="center"/>
      <protection locked="0"/>
    </xf>
    <xf numFmtId="10" fontId="18" fillId="0" borderId="3" xfId="2" applyNumberFormat="1" applyFont="1" applyBorder="1" applyAlignment="1">
      <alignment horizontal="center" vertical="center"/>
    </xf>
    <xf numFmtId="10" fontId="18" fillId="0" borderId="3" xfId="2" applyNumberFormat="1" applyFont="1" applyBorder="1" applyAlignment="1">
      <alignment horizontal="center" vertical="center" wrapText="1"/>
    </xf>
    <xf numFmtId="0" fontId="18" fillId="0" borderId="3" xfId="2" applyFont="1" applyBorder="1" applyAlignment="1">
      <alignment horizontal="center" vertical="center" wrapText="1"/>
    </xf>
    <xf numFmtId="0" fontId="18" fillId="5" borderId="3" xfId="2" applyFont="1" applyFill="1" applyBorder="1" applyAlignment="1">
      <alignment horizontal="center" vertical="center" wrapText="1"/>
    </xf>
    <xf numFmtId="10" fontId="17" fillId="5" borderId="3" xfId="2" applyNumberFormat="1" applyFont="1" applyFill="1" applyBorder="1" applyAlignment="1">
      <alignment horizontal="center" vertical="center"/>
    </xf>
    <xf numFmtId="0" fontId="19" fillId="0" borderId="0" xfId="2" applyFont="1" applyAlignment="1">
      <alignment horizontal="right" vertical="center"/>
    </xf>
    <xf numFmtId="0" fontId="0" fillId="0" borderId="0" xfId="2" applyFont="1" applyAlignment="1">
      <alignment horizontal="center" vertical="top"/>
    </xf>
    <xf numFmtId="0" fontId="23" fillId="0" borderId="0" xfId="2" applyFont="1" applyAlignment="1">
      <alignment horizontal="center" vertical="top"/>
    </xf>
    <xf numFmtId="167" fontId="0" fillId="0" borderId="0" xfId="2" applyNumberFormat="1" applyFont="1"/>
    <xf numFmtId="0" fontId="11" fillId="0" borderId="6" xfId="2" applyFont="1" applyBorder="1" applyAlignment="1">
      <alignment horizontal="left"/>
    </xf>
    <xf numFmtId="0" fontId="0" fillId="0" borderId="6" xfId="2" applyFont="1" applyBorder="1"/>
    <xf numFmtId="0" fontId="18" fillId="0" borderId="0" xfId="2" applyFont="1"/>
    <xf numFmtId="0" fontId="11" fillId="0" borderId="0" xfId="3" applyFont="1" applyAlignment="1">
      <alignment horizontal="left" vertical="top"/>
    </xf>
    <xf numFmtId="0" fontId="0" fillId="0" borderId="0" xfId="2" applyFont="1" applyAlignment="1">
      <alignment vertical="top"/>
    </xf>
    <xf numFmtId="165" fontId="0" fillId="0" borderId="0" xfId="2" applyNumberFormat="1" applyFont="1"/>
    <xf numFmtId="165" fontId="0" fillId="0" borderId="0" xfId="2" applyNumberFormat="1" applyFont="1" applyAlignment="1">
      <alignment vertical="top"/>
    </xf>
    <xf numFmtId="168" fontId="0" fillId="0" borderId="0" xfId="0" applyNumberFormat="1"/>
    <xf numFmtId="10" fontId="0" fillId="0" borderId="0" xfId="0" applyNumberFormat="1"/>
    <xf numFmtId="168" fontId="3" fillId="0" borderId="1" xfId="0" applyNumberFormat="1" applyFont="1" applyBorder="1" applyAlignment="1">
      <alignment horizontal="center" wrapText="1"/>
    </xf>
    <xf numFmtId="168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vertical="top" wrapText="1"/>
    </xf>
    <xf numFmtId="49" fontId="3" fillId="0" borderId="1" xfId="0" applyNumberFormat="1" applyFont="1" applyBorder="1" applyAlignment="1">
      <alignment horizontal="left" wrapText="1"/>
    </xf>
    <xf numFmtId="49" fontId="3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27" fillId="0" borderId="7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/>
    <xf numFmtId="0" fontId="29" fillId="0" borderId="0" xfId="0" applyFont="1"/>
    <xf numFmtId="10" fontId="9" fillId="0" borderId="1" xfId="0" applyNumberFormat="1" applyFont="1" applyBorder="1"/>
    <xf numFmtId="0" fontId="31" fillId="0" borderId="1" xfId="0" applyFont="1" applyBorder="1"/>
    <xf numFmtId="10" fontId="31" fillId="0" borderId="1" xfId="0" applyNumberFormat="1" applyFont="1" applyBorder="1"/>
    <xf numFmtId="168" fontId="31" fillId="0" borderId="1" xfId="0" applyNumberFormat="1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168" fontId="26" fillId="0" borderId="1" xfId="0" applyNumberFormat="1" applyFont="1" applyBorder="1" applyAlignment="1">
      <alignment horizontal="center" wrapText="1"/>
    </xf>
    <xf numFmtId="10" fontId="33" fillId="0" borderId="1" xfId="0" applyNumberFormat="1" applyFont="1" applyBorder="1" applyAlignment="1">
      <alignment horizontal="right"/>
    </xf>
    <xf numFmtId="10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168" fontId="26" fillId="0" borderId="1" xfId="0" applyNumberFormat="1" applyFont="1" applyBorder="1" applyAlignment="1">
      <alignment horizontal="center"/>
    </xf>
    <xf numFmtId="0" fontId="9" fillId="0" borderId="0" xfId="0" applyFont="1"/>
    <xf numFmtId="0" fontId="32" fillId="0" borderId="1" xfId="0" applyFont="1" applyBorder="1"/>
    <xf numFmtId="168" fontId="32" fillId="0" borderId="1" xfId="0" applyNumberFormat="1" applyFont="1" applyBorder="1" applyAlignment="1">
      <alignment horizontal="center"/>
    </xf>
    <xf numFmtId="10" fontId="34" fillId="0" borderId="1" xfId="0" applyNumberFormat="1" applyFont="1" applyBorder="1"/>
    <xf numFmtId="0" fontId="9" fillId="0" borderId="1" xfId="0" applyFont="1" applyBorder="1"/>
    <xf numFmtId="10" fontId="32" fillId="0" borderId="1" xfId="0" applyNumberFormat="1" applyFont="1" applyBorder="1" applyAlignment="1">
      <alignment horizontal="center"/>
    </xf>
    <xf numFmtId="10" fontId="9" fillId="2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right"/>
    </xf>
    <xf numFmtId="49" fontId="2" fillId="0" borderId="8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left" vertical="center"/>
    </xf>
    <xf numFmtId="49" fontId="3" fillId="0" borderId="15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left" vertical="center"/>
    </xf>
    <xf numFmtId="0" fontId="2" fillId="0" borderId="8" xfId="0" applyFont="1" applyBorder="1"/>
    <xf numFmtId="0" fontId="2" fillId="0" borderId="15" xfId="0" applyFont="1" applyBorder="1" applyAlignment="1">
      <alignment vertical="justify"/>
    </xf>
    <xf numFmtId="49" fontId="2" fillId="0" borderId="14" xfId="0" applyNumberFormat="1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left" vertical="center"/>
    </xf>
    <xf numFmtId="49" fontId="2" fillId="0" borderId="15" xfId="0" applyNumberFormat="1" applyFont="1" applyBorder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3" fillId="0" borderId="15" xfId="0" applyFont="1" applyBorder="1" applyAlignment="1">
      <alignment wrapText="1"/>
    </xf>
    <xf numFmtId="49" fontId="3" fillId="0" borderId="15" xfId="0" applyNumberFormat="1" applyFont="1" applyBorder="1"/>
    <xf numFmtId="0" fontId="2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left" wrapText="1"/>
    </xf>
    <xf numFmtId="0" fontId="27" fillId="0" borderId="1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wrapText="1"/>
    </xf>
    <xf numFmtId="49" fontId="3" fillId="0" borderId="15" xfId="0" applyNumberFormat="1" applyFont="1" applyBorder="1" applyAlignment="1">
      <alignment horizontal="left"/>
    </xf>
    <xf numFmtId="4" fontId="3" fillId="0" borderId="15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>
      <alignment horizontal="right" vertical="center"/>
    </xf>
    <xf numFmtId="49" fontId="2" fillId="0" borderId="12" xfId="0" applyNumberFormat="1" applyFont="1" applyBorder="1" applyAlignment="1">
      <alignment horizontal="left"/>
    </xf>
    <xf numFmtId="10" fontId="9" fillId="6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right" vertical="center"/>
    </xf>
    <xf numFmtId="0" fontId="0" fillId="8" borderId="0" xfId="0" applyFill="1" applyAlignment="1">
      <alignment horizontal="left" vertical="top" wrapText="1"/>
    </xf>
    <xf numFmtId="0" fontId="6" fillId="8" borderId="0" xfId="0" applyFont="1" applyFill="1" applyAlignment="1">
      <alignment horizontal="left" vertical="top" wrapText="1"/>
    </xf>
    <xf numFmtId="0" fontId="0" fillId="0" borderId="0" xfId="0" applyAlignment="1"/>
    <xf numFmtId="0" fontId="5" fillId="0" borderId="1" xfId="0" applyFont="1" applyBorder="1" applyAlignment="1">
      <alignment horizontal="center" vertical="center"/>
    </xf>
    <xf numFmtId="0" fontId="52" fillId="7" borderId="7" xfId="0" applyFont="1" applyFill="1" applyBorder="1" applyAlignment="1">
      <alignment vertical="top" wrapText="1"/>
    </xf>
    <xf numFmtId="0" fontId="52" fillId="7" borderId="7" xfId="0" applyFont="1" applyFill="1" applyBorder="1" applyAlignment="1">
      <alignment horizontal="center" vertical="top" wrapText="1"/>
    </xf>
    <xf numFmtId="0" fontId="52" fillId="7" borderId="7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" fontId="0" fillId="0" borderId="0" xfId="0" applyNumberFormat="1"/>
    <xf numFmtId="4" fontId="52" fillId="7" borderId="7" xfId="0" applyNumberFormat="1" applyFont="1" applyFill="1" applyBorder="1" applyAlignment="1">
      <alignment horizontal="right" vertical="top" wrapText="1"/>
    </xf>
    <xf numFmtId="0" fontId="52" fillId="9" borderId="7" xfId="0" applyFont="1" applyFill="1" applyBorder="1" applyAlignment="1">
      <alignment vertical="top" wrapText="1"/>
    </xf>
    <xf numFmtId="0" fontId="52" fillId="9" borderId="7" xfId="0" applyFont="1" applyFill="1" applyBorder="1" applyAlignment="1">
      <alignment horizontal="center" vertical="top" wrapText="1"/>
    </xf>
    <xf numFmtId="0" fontId="52" fillId="9" borderId="7" xfId="0" applyFont="1" applyFill="1" applyBorder="1" applyAlignment="1">
      <alignment horizontal="right" vertical="top" wrapText="1"/>
    </xf>
    <xf numFmtId="0" fontId="0" fillId="0" borderId="0" xfId="0" applyAlignment="1">
      <alignment wrapText="1"/>
    </xf>
    <xf numFmtId="0" fontId="2" fillId="0" borderId="8" xfId="0" applyFont="1" applyBorder="1" applyAlignment="1">
      <alignment horizontal="right" vertical="center"/>
    </xf>
    <xf numFmtId="0" fontId="0" fillId="0" borderId="0" xfId="0" applyAlignment="1">
      <alignment vertical="center"/>
    </xf>
    <xf numFmtId="49" fontId="3" fillId="0" borderId="15" xfId="0" applyNumberFormat="1" applyFont="1" applyBorder="1" applyAlignment="1">
      <alignment horizontal="left" vertical="center" wrapText="1"/>
    </xf>
    <xf numFmtId="4" fontId="3" fillId="0" borderId="15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0" fontId="27" fillId="0" borderId="7" xfId="0" applyFont="1" applyBorder="1" applyAlignment="1">
      <alignment vertical="top" wrapText="1"/>
    </xf>
    <xf numFmtId="49" fontId="3" fillId="0" borderId="1" xfId="0" applyNumberFormat="1" applyFont="1" applyBorder="1" applyAlignment="1">
      <alignment vertical="center"/>
    </xf>
    <xf numFmtId="0" fontId="0" fillId="0" borderId="0" xfId="0" applyBorder="1"/>
    <xf numFmtId="49" fontId="2" fillId="0" borderId="21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50" fillId="0" borderId="0" xfId="0" applyFont="1" applyFill="1" applyBorder="1" applyAlignment="1">
      <alignment horizontal="center" vertical="justify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top" wrapText="1"/>
    </xf>
    <xf numFmtId="3" fontId="3" fillId="0" borderId="2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0" fontId="52" fillId="9" borderId="0" xfId="0" applyFont="1" applyFill="1" applyBorder="1" applyAlignment="1">
      <alignment horizontal="right" vertical="top" wrapText="1"/>
    </xf>
    <xf numFmtId="0" fontId="46" fillId="9" borderId="7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left"/>
    </xf>
    <xf numFmtId="0" fontId="9" fillId="0" borderId="0" xfId="0" applyFont="1" applyBorder="1" applyAlignment="1">
      <alignment vertical="center" wrapText="1"/>
    </xf>
    <xf numFmtId="49" fontId="2" fillId="0" borderId="14" xfId="0" applyNumberFormat="1" applyFont="1" applyBorder="1" applyAlignment="1">
      <alignment vertical="center"/>
    </xf>
    <xf numFmtId="49" fontId="2" fillId="0" borderId="15" xfId="0" applyNumberFormat="1" applyFont="1" applyBorder="1" applyAlignment="1">
      <alignment vertical="center"/>
    </xf>
    <xf numFmtId="49" fontId="2" fillId="0" borderId="9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" fontId="3" fillId="0" borderId="9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left" wrapText="1"/>
    </xf>
    <xf numFmtId="0" fontId="3" fillId="0" borderId="14" xfId="0" applyFont="1" applyBorder="1" applyAlignment="1">
      <alignment horizontal="center" vertical="center"/>
    </xf>
    <xf numFmtId="4" fontId="3" fillId="0" borderId="14" xfId="0" applyNumberFormat="1" applyFont="1" applyBorder="1" applyAlignment="1">
      <alignment horizontal="right" vertical="center"/>
    </xf>
    <xf numFmtId="0" fontId="3" fillId="0" borderId="27" xfId="0" applyFont="1" applyFill="1" applyBorder="1" applyAlignment="1">
      <alignment horizontal="center" vertical="center"/>
    </xf>
    <xf numFmtId="0" fontId="43" fillId="0" borderId="0" xfId="0" applyFont="1"/>
    <xf numFmtId="0" fontId="43" fillId="0" borderId="1" xfId="0" applyFont="1" applyBorder="1"/>
    <xf numFmtId="0" fontId="47" fillId="0" borderId="1" xfId="0" applyFont="1" applyBorder="1"/>
    <xf numFmtId="0" fontId="47" fillId="0" borderId="1" xfId="0" applyFont="1" applyBorder="1" applyAlignment="1">
      <alignment horizontal="center" vertical="center"/>
    </xf>
    <xf numFmtId="0" fontId="47" fillId="0" borderId="1" xfId="0" applyFont="1" applyBorder="1" applyAlignment="1">
      <alignment vertical="center"/>
    </xf>
    <xf numFmtId="2" fontId="4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0" fontId="46" fillId="0" borderId="0" xfId="0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4" fontId="46" fillId="0" borderId="0" xfId="0" applyNumberFormat="1" applyFont="1" applyFill="1" applyBorder="1" applyAlignment="1">
      <alignment horizontal="right"/>
    </xf>
    <xf numFmtId="2" fontId="46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/>
    <xf numFmtId="0" fontId="43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 applyAlignment="1">
      <alignment horizontal="right" wrapText="1"/>
    </xf>
    <xf numFmtId="4" fontId="4" fillId="0" borderId="0" xfId="0" applyNumberFormat="1" applyFont="1" applyFill="1" applyBorder="1"/>
    <xf numFmtId="0" fontId="46" fillId="0" borderId="0" xfId="0" applyFont="1" applyFill="1" applyBorder="1"/>
    <xf numFmtId="0" fontId="51" fillId="0" borderId="0" xfId="0" applyFont="1" applyFill="1" applyBorder="1"/>
    <xf numFmtId="4" fontId="46" fillId="0" borderId="0" xfId="0" applyNumberFormat="1" applyFont="1" applyFill="1" applyBorder="1"/>
    <xf numFmtId="0" fontId="45" fillId="0" borderId="0" xfId="0" applyFont="1" applyFill="1" applyBorder="1" applyAlignment="1">
      <alignment horizontal="right"/>
    </xf>
    <xf numFmtId="0" fontId="45" fillId="0" borderId="0" xfId="0" applyFont="1" applyFill="1" applyBorder="1" applyAlignment="1"/>
    <xf numFmtId="4" fontId="45" fillId="0" borderId="0" xfId="0" applyNumberFormat="1" applyFont="1" applyFill="1" applyBorder="1" applyAlignment="1">
      <alignment horizontal="right"/>
    </xf>
    <xf numFmtId="0" fontId="45" fillId="0" borderId="0" xfId="0" applyFont="1" applyFill="1" applyBorder="1" applyAlignment="1">
      <alignment horizontal="right" vertical="center"/>
    </xf>
    <xf numFmtId="0" fontId="45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10" fontId="45" fillId="0" borderId="0" xfId="5" applyNumberFormat="1" applyFont="1" applyFill="1" applyBorder="1" applyAlignment="1">
      <alignment horizontal="right"/>
    </xf>
    <xf numFmtId="49" fontId="3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right" vertical="center"/>
    </xf>
    <xf numFmtId="49" fontId="3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Continuous" vertical="center"/>
    </xf>
    <xf numFmtId="0" fontId="44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horizontal="right" vertical="center" wrapText="1"/>
    </xf>
    <xf numFmtId="0" fontId="51" fillId="0" borderId="0" xfId="0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wrapText="1"/>
    </xf>
    <xf numFmtId="4" fontId="4" fillId="0" borderId="0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/>
    <xf numFmtId="4" fontId="0" fillId="0" borderId="0" xfId="0" applyNumberFormat="1" applyFont="1" applyFill="1" applyBorder="1" applyAlignment="1">
      <alignment horizontal="right" vertical="center"/>
    </xf>
    <xf numFmtId="10" fontId="9" fillId="0" borderId="0" xfId="0" applyNumberFormat="1" applyFont="1" applyFill="1" applyBorder="1" applyAlignment="1"/>
    <xf numFmtId="10" fontId="0" fillId="0" borderId="0" xfId="0" applyNumberFormat="1" applyFont="1" applyFill="1" applyBorder="1" applyAlignment="1">
      <alignment horizontal="right" vertical="center"/>
    </xf>
    <xf numFmtId="4" fontId="9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Continuous" vertical="justify"/>
    </xf>
    <xf numFmtId="0" fontId="9" fillId="0" borderId="0" xfId="0" applyFont="1" applyFill="1" applyBorder="1" applyAlignment="1">
      <alignment horizontal="centerContinuous"/>
    </xf>
    <xf numFmtId="8" fontId="9" fillId="0" borderId="0" xfId="0" applyNumberFormat="1" applyFont="1" applyFill="1" applyBorder="1" applyAlignment="1">
      <alignment horizontal="centerContinuous"/>
    </xf>
    <xf numFmtId="2" fontId="46" fillId="0" borderId="0" xfId="0" applyNumberFormat="1" applyFont="1" applyFill="1" applyBorder="1" applyAlignment="1"/>
    <xf numFmtId="4" fontId="54" fillId="0" borderId="0" xfId="0" applyNumberFormat="1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right" vertical="center"/>
    </xf>
    <xf numFmtId="2" fontId="4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justify"/>
    </xf>
    <xf numFmtId="0" fontId="40" fillId="0" borderId="0" xfId="0" applyFont="1" applyFill="1" applyBorder="1" applyAlignment="1">
      <alignment horizontal="center" vertical="justify"/>
    </xf>
    <xf numFmtId="0" fontId="40" fillId="0" borderId="0" xfId="0" applyFont="1" applyFill="1" applyBorder="1" applyAlignment="1">
      <alignment vertical="justify"/>
    </xf>
    <xf numFmtId="43" fontId="9" fillId="0" borderId="0" xfId="6" applyFont="1" applyFill="1" applyBorder="1"/>
    <xf numFmtId="0" fontId="48" fillId="0" borderId="0" xfId="0" applyFont="1" applyFill="1" applyBorder="1" applyAlignment="1">
      <alignment vertical="top" wrapText="1"/>
    </xf>
    <xf numFmtId="0" fontId="48" fillId="0" borderId="0" xfId="0" applyFont="1" applyFill="1" applyBorder="1" applyAlignment="1">
      <alignment vertical="top"/>
    </xf>
    <xf numFmtId="0" fontId="48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vertical="center"/>
    </xf>
    <xf numFmtId="2" fontId="9" fillId="0" borderId="0" xfId="0" applyNumberFormat="1" applyFont="1" applyFill="1" applyBorder="1"/>
    <xf numFmtId="0" fontId="4" fillId="0" borderId="0" xfId="0" applyFont="1" applyFill="1" applyBorder="1" applyAlignment="1">
      <alignment wrapText="1"/>
    </xf>
    <xf numFmtId="4" fontId="0" fillId="0" borderId="0" xfId="0" applyNumberFormat="1" applyFill="1" applyBorder="1"/>
    <xf numFmtId="0" fontId="46" fillId="0" borderId="0" xfId="0" applyFont="1" applyFill="1" applyBorder="1" applyAlignment="1"/>
    <xf numFmtId="0" fontId="52" fillId="0" borderId="0" xfId="0" applyFont="1" applyFill="1" applyBorder="1" applyAlignment="1">
      <alignment vertical="top"/>
    </xf>
    <xf numFmtId="0" fontId="52" fillId="0" borderId="0" xfId="0" applyFont="1" applyFill="1" applyBorder="1" applyAlignment="1">
      <alignment horizontal="right" vertical="top" wrapText="1"/>
    </xf>
    <xf numFmtId="0" fontId="9" fillId="0" borderId="0" xfId="0" applyFont="1" applyFill="1" applyBorder="1" applyAlignment="1">
      <alignment horizontal="centerContinuous" vertical="center"/>
    </xf>
    <xf numFmtId="4" fontId="4" fillId="0" borderId="0" xfId="0" applyNumberFormat="1" applyFont="1" applyFill="1" applyBorder="1" applyAlignment="1">
      <alignment vertical="center"/>
    </xf>
    <xf numFmtId="4" fontId="9" fillId="0" borderId="0" xfId="0" applyNumberFormat="1" applyFont="1" applyFill="1" applyBorder="1"/>
    <xf numFmtId="4" fontId="46" fillId="0" borderId="0" xfId="0" applyNumberFormat="1" applyFont="1" applyFill="1" applyBorder="1" applyAlignment="1"/>
    <xf numFmtId="0" fontId="9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4" fontId="3" fillId="0" borderId="0" xfId="0" applyNumberFormat="1" applyFont="1" applyFill="1" applyBorder="1" applyAlignment="1">
      <alignment wrapText="1"/>
    </xf>
    <xf numFmtId="43" fontId="4" fillId="0" borderId="0" xfId="6" applyFon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Continuous" vertical="justify"/>
    </xf>
    <xf numFmtId="4" fontId="7" fillId="0" borderId="0" xfId="0" applyNumberFormat="1" applyFont="1" applyFill="1" applyBorder="1" applyAlignment="1">
      <alignment horizontal="right" vertical="center" wrapText="1"/>
    </xf>
    <xf numFmtId="0" fontId="39" fillId="0" borderId="0" xfId="0" applyFont="1" applyFill="1" applyBorder="1" applyAlignment="1">
      <alignment vertical="top" wrapText="1"/>
    </xf>
    <xf numFmtId="0" fontId="39" fillId="0" borderId="0" xfId="0" applyFont="1" applyFill="1" applyBorder="1" applyAlignment="1">
      <alignment horizontal="center" vertical="top" wrapText="1"/>
    </xf>
    <xf numFmtId="0" fontId="49" fillId="0" borderId="0" xfId="7" applyFont="1" applyFill="1" applyBorder="1" applyAlignment="1">
      <alignment horizontal="center" vertical="top" wrapText="1"/>
    </xf>
    <xf numFmtId="4" fontId="3" fillId="0" borderId="0" xfId="0" applyNumberFormat="1" applyFont="1" applyFill="1" applyBorder="1" applyAlignment="1"/>
    <xf numFmtId="0" fontId="52" fillId="0" borderId="0" xfId="0" applyFont="1" applyFill="1" applyBorder="1" applyAlignment="1">
      <alignment vertical="top" wrapText="1"/>
    </xf>
    <xf numFmtId="0" fontId="42" fillId="0" borderId="0" xfId="0" applyFont="1" applyFill="1" applyBorder="1" applyAlignment="1">
      <alignment horizontal="right" wrapText="1"/>
    </xf>
    <xf numFmtId="49" fontId="2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9" fillId="0" borderId="2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wrapText="1"/>
    </xf>
    <xf numFmtId="49" fontId="2" fillId="0" borderId="8" xfId="0" applyNumberFormat="1" applyFont="1" applyBorder="1" applyAlignment="1">
      <alignment horizontal="left"/>
    </xf>
    <xf numFmtId="0" fontId="2" fillId="0" borderId="9" xfId="0" applyFont="1" applyBorder="1" applyAlignment="1">
      <alignment horizontal="right" vertical="center"/>
    </xf>
    <xf numFmtId="0" fontId="43" fillId="0" borderId="1" xfId="0" applyFont="1" applyBorder="1" applyAlignment="1">
      <alignment wrapText="1"/>
    </xf>
    <xf numFmtId="0" fontId="0" fillId="0" borderId="0" xfId="0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9" fontId="8" fillId="0" borderId="9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3" fillId="0" borderId="16" xfId="0" applyFont="1" applyBorder="1" applyAlignment="1">
      <alignment horizontal="left" vertical="center"/>
    </xf>
    <xf numFmtId="49" fontId="3" fillId="0" borderId="9" xfId="0" applyNumberFormat="1" applyFont="1" applyBorder="1" applyAlignment="1">
      <alignment horizontal="center" vertical="center"/>
    </xf>
    <xf numFmtId="2" fontId="55" fillId="9" borderId="0" xfId="0" applyNumberFormat="1" applyFont="1" applyFill="1" applyBorder="1" applyAlignment="1">
      <alignment horizontal="right" vertical="center" wrapText="1"/>
    </xf>
    <xf numFmtId="4" fontId="2" fillId="0" borderId="9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 wrapText="1"/>
    </xf>
    <xf numFmtId="49" fontId="8" fillId="0" borderId="9" xfId="0" applyNumberFormat="1" applyFont="1" applyBorder="1" applyAlignment="1">
      <alignment vertical="center"/>
    </xf>
    <xf numFmtId="4" fontId="3" fillId="0" borderId="15" xfId="0" applyNumberFormat="1" applyFont="1" applyBorder="1" applyAlignment="1">
      <alignment vertical="center" wrapText="1"/>
    </xf>
    <xf numFmtId="4" fontId="2" fillId="0" borderId="9" xfId="0" applyNumberFormat="1" applyFont="1" applyBorder="1" applyAlignment="1">
      <alignment vertical="center" wrapText="1"/>
    </xf>
    <xf numFmtId="4" fontId="3" fillId="0" borderId="14" xfId="0" applyNumberFormat="1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52" fillId="9" borderId="0" xfId="0" applyFont="1" applyFill="1" applyBorder="1" applyAlignment="1">
      <alignment vertical="center" wrapText="1"/>
    </xf>
    <xf numFmtId="4" fontId="2" fillId="0" borderId="15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9" xfId="0" applyNumberFormat="1" applyFont="1" applyBorder="1" applyAlignment="1">
      <alignment horizontal="righ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/>
    </xf>
    <xf numFmtId="4" fontId="3" fillId="0" borderId="15" xfId="0" applyNumberFormat="1" applyFont="1" applyFill="1" applyBorder="1" applyAlignment="1">
      <alignment horizontal="right" vertical="center" wrapText="1"/>
    </xf>
    <xf numFmtId="0" fontId="46" fillId="0" borderId="1" xfId="0" applyFont="1" applyBorder="1" applyAlignment="1">
      <alignment vertical="center"/>
    </xf>
    <xf numFmtId="0" fontId="8" fillId="0" borderId="9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3" fontId="3" fillId="0" borderId="16" xfId="6" applyFont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 wrapText="1"/>
    </xf>
    <xf numFmtId="3" fontId="2" fillId="0" borderId="15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3" fontId="2" fillId="0" borderId="12" xfId="0" applyNumberFormat="1" applyFont="1" applyBorder="1" applyAlignment="1">
      <alignment horizontal="right" vertical="center"/>
    </xf>
    <xf numFmtId="0" fontId="52" fillId="9" borderId="0" xfId="0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/>
    </xf>
    <xf numFmtId="3" fontId="3" fillId="0" borderId="21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right" vertical="center"/>
    </xf>
    <xf numFmtId="49" fontId="3" fillId="0" borderId="24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vertical="center" wrapText="1"/>
    </xf>
    <xf numFmtId="3" fontId="3" fillId="0" borderId="24" xfId="0" applyNumberFormat="1" applyFont="1" applyBorder="1" applyAlignment="1">
      <alignment horizontal="right" vertical="center"/>
    </xf>
    <xf numFmtId="4" fontId="2" fillId="0" borderId="31" xfId="0" applyNumberFormat="1" applyFont="1" applyBorder="1" applyAlignment="1">
      <alignment horizontal="center" vertical="center"/>
    </xf>
    <xf numFmtId="4" fontId="2" fillId="0" borderId="32" xfId="0" applyNumberFormat="1" applyFont="1" applyBorder="1" applyAlignment="1">
      <alignment horizontal="center" vertical="center"/>
    </xf>
    <xf numFmtId="4" fontId="2" fillId="0" borderId="33" xfId="0" applyNumberFormat="1" applyFont="1" applyBorder="1" applyAlignment="1">
      <alignment horizontal="center" vertical="center"/>
    </xf>
    <xf numFmtId="4" fontId="3" fillId="0" borderId="34" xfId="0" applyNumberFormat="1" applyFont="1" applyBorder="1" applyAlignment="1">
      <alignment vertical="center" wrapText="1"/>
    </xf>
    <xf numFmtId="4" fontId="3" fillId="0" borderId="33" xfId="0" applyNumberFormat="1" applyFont="1" applyBorder="1" applyAlignment="1">
      <alignment vertical="center" wrapText="1"/>
    </xf>
    <xf numFmtId="4" fontId="3" fillId="0" borderId="33" xfId="0" applyNumberFormat="1" applyFont="1" applyBorder="1" applyAlignment="1">
      <alignment horizontal="right" vertical="center" wrapText="1"/>
    </xf>
    <xf numFmtId="4" fontId="3" fillId="0" borderId="34" xfId="0" applyNumberFormat="1" applyFont="1" applyBorder="1" applyAlignment="1">
      <alignment horizontal="right" vertical="center" wrapText="1"/>
    </xf>
    <xf numFmtId="0" fontId="47" fillId="0" borderId="0" xfId="0" applyFont="1" applyBorder="1" applyAlignment="1">
      <alignment horizontal="center" vertical="center"/>
    </xf>
    <xf numFmtId="0" fontId="43" fillId="0" borderId="0" xfId="0" applyFont="1" applyBorder="1"/>
    <xf numFmtId="0" fontId="46" fillId="0" borderId="0" xfId="0" applyFont="1" applyBorder="1" applyAlignment="1">
      <alignment vertical="center"/>
    </xf>
    <xf numFmtId="4" fontId="3" fillId="0" borderId="34" xfId="0" applyNumberFormat="1" applyFont="1" applyBorder="1" applyAlignment="1">
      <alignment vertical="center"/>
    </xf>
    <xf numFmtId="4" fontId="3" fillId="0" borderId="34" xfId="0" applyNumberFormat="1" applyFont="1" applyBorder="1" applyAlignment="1">
      <alignment horizontal="right" vertical="center"/>
    </xf>
    <xf numFmtId="0" fontId="43" fillId="0" borderId="0" xfId="0" applyFont="1" applyBorder="1" applyAlignment="1">
      <alignment wrapText="1"/>
    </xf>
    <xf numFmtId="0" fontId="46" fillId="0" borderId="0" xfId="0" applyFont="1" applyBorder="1"/>
    <xf numFmtId="4" fontId="8" fillId="0" borderId="34" xfId="0" applyNumberFormat="1" applyFont="1" applyBorder="1" applyAlignment="1">
      <alignment horizontal="right" vertical="center" wrapText="1"/>
    </xf>
    <xf numFmtId="4" fontId="3" fillId="0" borderId="33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9" fillId="0" borderId="30" xfId="0" applyFont="1" applyBorder="1" applyAlignment="1">
      <alignment horizontal="center" vertical="center" wrapText="1"/>
    </xf>
    <xf numFmtId="4" fontId="30" fillId="0" borderId="0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9" xfId="0" applyBorder="1" applyAlignment="1">
      <alignment wrapText="1"/>
    </xf>
    <xf numFmtId="0" fontId="8" fillId="0" borderId="21" xfId="0" applyFont="1" applyBorder="1" applyAlignment="1">
      <alignment horizontal="right" wrapText="1"/>
    </xf>
    <xf numFmtId="0" fontId="8" fillId="0" borderId="1" xfId="0" applyFont="1" applyBorder="1" applyAlignment="1">
      <alignment horizontal="right" wrapText="1"/>
    </xf>
    <xf numFmtId="49" fontId="8" fillId="0" borderId="22" xfId="0" applyNumberFormat="1" applyFont="1" applyBorder="1" applyAlignment="1">
      <alignment horizontal="right"/>
    </xf>
    <xf numFmtId="49" fontId="8" fillId="0" borderId="14" xfId="0" applyNumberFormat="1" applyFont="1" applyBorder="1" applyAlignment="1">
      <alignment horizontal="right"/>
    </xf>
    <xf numFmtId="0" fontId="8" fillId="0" borderId="14" xfId="0" applyFont="1" applyBorder="1" applyAlignment="1">
      <alignment horizontal="right"/>
    </xf>
    <xf numFmtId="0" fontId="8" fillId="0" borderId="14" xfId="0" applyFont="1" applyBorder="1" applyAlignment="1">
      <alignment horizontal="right" wrapText="1"/>
    </xf>
    <xf numFmtId="49" fontId="2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49" fontId="8" fillId="0" borderId="21" xfId="0" applyNumberFormat="1" applyFont="1" applyBorder="1" applyAlignment="1">
      <alignment horizontal="right"/>
    </xf>
    <xf numFmtId="49" fontId="8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9" fillId="0" borderId="2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2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7" fillId="0" borderId="21" xfId="0" applyFont="1" applyBorder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34" xfId="0" applyFont="1" applyBorder="1" applyAlignment="1">
      <alignment horizontal="left" wrapText="1"/>
    </xf>
    <xf numFmtId="0" fontId="8" fillId="0" borderId="2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49" fontId="2" fillId="2" borderId="2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49" fontId="2" fillId="2" borderId="25" xfId="0" applyNumberFormat="1" applyFont="1" applyFill="1" applyBorder="1" applyAlignment="1">
      <alignment horizontal="left" vertical="center"/>
    </xf>
    <xf numFmtId="49" fontId="2" fillId="2" borderId="26" xfId="0" applyNumberFormat="1" applyFont="1" applyFill="1" applyBorder="1" applyAlignment="1">
      <alignment horizontal="left" vertical="center"/>
    </xf>
    <xf numFmtId="44" fontId="53" fillId="2" borderId="1" xfId="1" applyFont="1" applyFill="1" applyBorder="1" applyAlignment="1">
      <alignment horizontal="center" vertical="center"/>
    </xf>
    <xf numFmtId="44" fontId="53" fillId="2" borderId="34" xfId="1" applyFont="1" applyFill="1" applyBorder="1" applyAlignment="1">
      <alignment horizontal="center" vertical="center"/>
    </xf>
    <xf numFmtId="44" fontId="53" fillId="2" borderId="26" xfId="1" applyFont="1" applyFill="1" applyBorder="1" applyAlignment="1">
      <alignment horizontal="center" vertical="center"/>
    </xf>
    <xf numFmtId="44" fontId="53" fillId="2" borderId="37" xfId="1" applyFont="1" applyFill="1" applyBorder="1" applyAlignment="1">
      <alignment horizontal="center" vertical="center"/>
    </xf>
    <xf numFmtId="44" fontId="53" fillId="2" borderId="11" xfId="1" applyFont="1" applyFill="1" applyBorder="1" applyAlignment="1">
      <alignment horizontal="center" vertical="center"/>
    </xf>
    <xf numFmtId="44" fontId="53" fillId="2" borderId="36" xfId="1" applyFont="1" applyFill="1" applyBorder="1" applyAlignment="1">
      <alignment horizontal="center" vertical="center"/>
    </xf>
    <xf numFmtId="44" fontId="53" fillId="2" borderId="12" xfId="1" applyFont="1" applyFill="1" applyBorder="1" applyAlignment="1">
      <alignment horizontal="center" vertical="center"/>
    </xf>
    <xf numFmtId="44" fontId="53" fillId="2" borderId="35" xfId="1" applyFont="1" applyFill="1" applyBorder="1" applyAlignment="1">
      <alignment horizontal="center" vertical="center"/>
    </xf>
    <xf numFmtId="49" fontId="2" fillId="0" borderId="8" xfId="0" applyNumberFormat="1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3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2" fillId="0" borderId="22" xfId="0" applyFont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center" vertical="center"/>
    </xf>
    <xf numFmtId="49" fontId="2" fillId="0" borderId="34" xfId="0" applyNumberFormat="1" applyFont="1" applyBorder="1" applyAlignment="1">
      <alignment horizontal="left"/>
    </xf>
    <xf numFmtId="0" fontId="2" fillId="0" borderId="23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49" fontId="2" fillId="0" borderId="15" xfId="0" applyNumberFormat="1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0" fillId="0" borderId="4" xfId="2" applyFont="1" applyBorder="1" applyAlignment="1">
      <alignment horizontal="left" vertical="top" wrapText="1"/>
    </xf>
    <xf numFmtId="0" fontId="15" fillId="0" borderId="0" xfId="0" applyFont="1" applyAlignment="1">
      <alignment horizontal="center" textRotation="90"/>
    </xf>
    <xf numFmtId="0" fontId="11" fillId="0" borderId="2" xfId="3" applyFont="1" applyBorder="1" applyAlignment="1">
      <alignment horizontal="left" vertical="top"/>
    </xf>
    <xf numFmtId="0" fontId="14" fillId="0" borderId="4" xfId="4" applyNumberFormat="1" applyFont="1" applyBorder="1" applyAlignment="1">
      <alignment horizontal="left" wrapText="1"/>
    </xf>
    <xf numFmtId="0" fontId="14" fillId="0" borderId="3" xfId="2" applyFont="1" applyBorder="1" applyAlignment="1">
      <alignment horizontal="left" wrapText="1"/>
    </xf>
    <xf numFmtId="10" fontId="14" fillId="3" borderId="3" xfId="2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4" fillId="0" borderId="3" xfId="2" applyFont="1" applyBorder="1" applyAlignment="1">
      <alignment horizontal="left"/>
    </xf>
    <xf numFmtId="4" fontId="17" fillId="0" borderId="3" xfId="2" applyNumberFormat="1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/>
    </xf>
    <xf numFmtId="164" fontId="14" fillId="4" borderId="4" xfId="4" applyFont="1" applyFill="1" applyBorder="1" applyAlignment="1" applyProtection="1">
      <alignment horizontal="left"/>
      <protection locked="0"/>
    </xf>
    <xf numFmtId="0" fontId="17" fillId="0" borderId="3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 wrapText="1"/>
    </xf>
    <xf numFmtId="4" fontId="17" fillId="0" borderId="3" xfId="2" applyNumberFormat="1" applyFont="1" applyBorder="1" applyAlignment="1">
      <alignment horizontal="center" vertical="center"/>
    </xf>
    <xf numFmtId="0" fontId="14" fillId="0" borderId="3" xfId="2" applyFont="1" applyBorder="1" applyAlignment="1">
      <alignment horizontal="left" vertical="center" wrapText="1"/>
    </xf>
    <xf numFmtId="0" fontId="18" fillId="5" borderId="3" xfId="2" applyFont="1" applyFill="1" applyBorder="1" applyAlignment="1">
      <alignment horizontal="center" vertical="center" wrapText="1"/>
    </xf>
    <xf numFmtId="0" fontId="20" fillId="0" borderId="0" xfId="2" applyFont="1" applyAlignment="1">
      <alignment horizontal="left" vertical="center" indent="1"/>
    </xf>
    <xf numFmtId="0" fontId="0" fillId="0" borderId="0" xfId="2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top"/>
    </xf>
    <xf numFmtId="0" fontId="0" fillId="0" borderId="6" xfId="2" applyFont="1" applyBorder="1" applyAlignment="1">
      <alignment horizontal="left" vertical="center"/>
    </xf>
    <xf numFmtId="49" fontId="0" fillId="3" borderId="3" xfId="2" applyNumberFormat="1" applyFont="1" applyFill="1" applyBorder="1" applyAlignment="1" applyProtection="1">
      <alignment horizontal="left" vertical="top" wrapText="1"/>
      <protection locked="0"/>
    </xf>
    <xf numFmtId="165" fontId="0" fillId="0" borderId="5" xfId="2" applyNumberFormat="1" applyFont="1" applyBorder="1" applyAlignment="1">
      <alignment horizontal="left"/>
    </xf>
    <xf numFmtId="166" fontId="0" fillId="0" borderId="5" xfId="2" applyNumberFormat="1" applyFont="1" applyBorder="1" applyAlignment="1">
      <alignment horizontal="left"/>
    </xf>
    <xf numFmtId="0" fontId="11" fillId="0" borderId="0" xfId="2" applyFont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0" fillId="0" borderId="0" xfId="0" applyAlignment="1">
      <alignment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7" fillId="0" borderId="7" xfId="0" applyFont="1" applyBorder="1" applyAlignment="1">
      <alignment horizontal="left" vertical="center" wrapText="1"/>
    </xf>
    <xf numFmtId="0" fontId="0" fillId="0" borderId="30" xfId="0" applyBorder="1" applyAlignment="1">
      <alignment vertical="center"/>
    </xf>
    <xf numFmtId="10" fontId="0" fillId="0" borderId="28" xfId="0" applyNumberFormat="1" applyBorder="1" applyAlignment="1">
      <alignment vertical="center"/>
    </xf>
    <xf numFmtId="4" fontId="7" fillId="0" borderId="34" xfId="0" applyNumberFormat="1" applyFont="1" applyBorder="1" applyAlignment="1">
      <alignment vertical="center" wrapText="1"/>
    </xf>
    <xf numFmtId="4" fontId="2" fillId="0" borderId="31" xfId="0" applyNumberFormat="1" applyFon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4" fontId="2" fillId="0" borderId="32" xfId="0" applyNumberFormat="1" applyFont="1" applyBorder="1" applyAlignment="1">
      <alignment vertical="center" wrapText="1"/>
    </xf>
    <xf numFmtId="4" fontId="3" fillId="0" borderId="32" xfId="0" applyNumberFormat="1" applyFont="1" applyBorder="1" applyAlignment="1">
      <alignment vertical="center"/>
    </xf>
    <xf numFmtId="4" fontId="2" fillId="0" borderId="33" xfId="0" applyNumberFormat="1" applyFont="1" applyBorder="1" applyAlignment="1">
      <alignment vertical="center"/>
    </xf>
    <xf numFmtId="4" fontId="2" fillId="0" borderId="34" xfId="0" applyNumberFormat="1" applyFont="1" applyBorder="1" applyAlignment="1">
      <alignment vertical="center" wrapText="1"/>
    </xf>
    <xf numFmtId="4" fontId="3" fillId="0" borderId="32" xfId="0" applyNumberFormat="1" applyFont="1" applyBorder="1" applyAlignment="1">
      <alignment vertical="center" wrapText="1"/>
    </xf>
    <xf numFmtId="4" fontId="8" fillId="0" borderId="31" xfId="0" applyNumberFormat="1" applyFont="1" applyBorder="1" applyAlignment="1">
      <alignment vertical="center" wrapText="1"/>
    </xf>
    <xf numFmtId="4" fontId="8" fillId="0" borderId="34" xfId="0" applyNumberFormat="1" applyFont="1" applyBorder="1" applyAlignment="1">
      <alignment vertical="center"/>
    </xf>
    <xf numFmtId="0" fontId="3" fillId="0" borderId="34" xfId="0" applyFont="1" applyBorder="1" applyAlignment="1">
      <alignment horizontal="left" vertical="center"/>
    </xf>
    <xf numFmtId="4" fontId="8" fillId="0" borderId="31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/>
    </xf>
    <xf numFmtId="4" fontId="2" fillId="0" borderId="31" xfId="0" applyNumberFormat="1" applyFont="1" applyBorder="1" applyAlignment="1">
      <alignment vertical="center"/>
    </xf>
    <xf numFmtId="4" fontId="2" fillId="0" borderId="34" xfId="0" applyNumberFormat="1" applyFont="1" applyBorder="1" applyAlignment="1">
      <alignment vertical="center"/>
    </xf>
    <xf numFmtId="4" fontId="3" fillId="0" borderId="31" xfId="0" applyNumberFormat="1" applyFont="1" applyBorder="1" applyAlignment="1">
      <alignment vertical="center" wrapText="1"/>
    </xf>
    <xf numFmtId="4" fontId="2" fillId="0" borderId="33" xfId="0" applyNumberFormat="1" applyFont="1" applyBorder="1" applyAlignment="1">
      <alignment vertical="center" wrapText="1"/>
    </xf>
    <xf numFmtId="0" fontId="3" fillId="0" borderId="35" xfId="0" applyFont="1" applyBorder="1" applyAlignment="1">
      <alignment horizontal="left" vertical="center"/>
    </xf>
    <xf numFmtId="0" fontId="43" fillId="0" borderId="0" xfId="0" applyFont="1" applyBorder="1" applyAlignment="1">
      <alignment vertical="center"/>
    </xf>
  </cellXfs>
  <cellStyles count="8">
    <cellStyle name="Hiperlink" xfId="7" builtinId="8"/>
    <cellStyle name="Moeda" xfId="1" builtinId="4"/>
    <cellStyle name="Moeda_Composicao BDI v2.1" xfId="4"/>
    <cellStyle name="Normal" xfId="0" builtinId="0"/>
    <cellStyle name="Normal 2" xfId="2"/>
    <cellStyle name="Normal_FICHA DE VERIFICAÇÃO PRELIMINAR - Plano R" xfId="3"/>
    <cellStyle name="Porcentagem" xfId="5" builtinId="5"/>
    <cellStyle name="Vírgula" xfId="6" builtinId="3"/>
  </cellStyles>
  <dxfs count="204">
    <dxf>
      <font>
        <b/>
        <i val="0"/>
        <condense val="0"/>
        <extend val="0"/>
      </font>
    </dxf>
    <dxf>
      <font>
        <b val="0"/>
        <condense val="0"/>
        <extend val="0"/>
        <color indexed="17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condense val="0"/>
        <extend val="0"/>
        <color indexed="10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 style="thin">
          <color indexed="64"/>
        </top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w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960784</xdr:colOff>
      <xdr:row>0</xdr:row>
      <xdr:rowOff>41414</xdr:rowOff>
    </xdr:from>
    <xdr:to>
      <xdr:col>3</xdr:col>
      <xdr:colOff>4754218</xdr:colOff>
      <xdr:row>0</xdr:row>
      <xdr:rowOff>520455</xdr:rowOff>
    </xdr:to>
    <xdr:pic>
      <xdr:nvPicPr>
        <xdr:cNvPr id="3" name="Imagem 2" descr="Logo 1 CorelDraw">
          <a:extLst>
            <a:ext uri="{FF2B5EF4-FFF2-40B4-BE49-F238E27FC236}">
              <a16:creationId xmlns:a16="http://schemas.microsoft.com/office/drawing/2014/main" xmlns="" id="{84E36C78-9584-4FD5-B8D0-00A593427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5197" y="41414"/>
          <a:ext cx="3793434" cy="479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3</xdr:row>
      <xdr:rowOff>19050</xdr:rowOff>
    </xdr:from>
    <xdr:to>
      <xdr:col>11</xdr:col>
      <xdr:colOff>390525</xdr:colOff>
      <xdr:row>5</xdr:row>
      <xdr:rowOff>38100</xdr:rowOff>
    </xdr:to>
    <xdr:pic>
      <xdr:nvPicPr>
        <xdr:cNvPr id="2" name="Logo1">
          <a:extLst>
            <a:ext uri="{FF2B5EF4-FFF2-40B4-BE49-F238E27FC236}">
              <a16:creationId xmlns:a16="http://schemas.microsoft.com/office/drawing/2014/main" xmlns="" id="{32ED34FD-B4E6-4A3F-A30B-B11E9AC0B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9050"/>
          <a:ext cx="1790700" cy="381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11</xdr:col>
      <xdr:colOff>38100</xdr:colOff>
      <xdr:row>0</xdr:row>
      <xdr:rowOff>28575</xdr:rowOff>
    </xdr:from>
    <xdr:to>
      <xdr:col>17</xdr:col>
      <xdr:colOff>173934</xdr:colOff>
      <xdr:row>0</xdr:row>
      <xdr:rowOff>507616</xdr:rowOff>
    </xdr:to>
    <xdr:pic>
      <xdr:nvPicPr>
        <xdr:cNvPr id="5" name="Imagem 4" descr="Logo 1 CorelDraw">
          <a:extLst>
            <a:ext uri="{FF2B5EF4-FFF2-40B4-BE49-F238E27FC236}">
              <a16:creationId xmlns:a16="http://schemas.microsoft.com/office/drawing/2014/main" xmlns="" id="{EE13F36F-535D-44BB-91CC-BFB0312CE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34825" y="28575"/>
          <a:ext cx="3793434" cy="479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2385391</xdr:colOff>
      <xdr:row>0</xdr:row>
      <xdr:rowOff>41413</xdr:rowOff>
    </xdr:from>
    <xdr:to>
      <xdr:col>2</xdr:col>
      <xdr:colOff>364434</xdr:colOff>
      <xdr:row>0</xdr:row>
      <xdr:rowOff>520454</xdr:rowOff>
    </xdr:to>
    <xdr:pic>
      <xdr:nvPicPr>
        <xdr:cNvPr id="2" name="Imagem 1" descr="Logo 1 CorelDraw">
          <a:extLst>
            <a:ext uri="{FF2B5EF4-FFF2-40B4-BE49-F238E27FC236}">
              <a16:creationId xmlns:a16="http://schemas.microsoft.com/office/drawing/2014/main" xmlns="" id="{C2D02F05-E090-4A19-AB55-D2182F97F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5391" y="41413"/>
          <a:ext cx="3793434" cy="479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520211</xdr:colOff>
      <xdr:row>0</xdr:row>
      <xdr:rowOff>43962</xdr:rowOff>
    </xdr:from>
    <xdr:to>
      <xdr:col>9</xdr:col>
      <xdr:colOff>327799</xdr:colOff>
      <xdr:row>0</xdr:row>
      <xdr:rowOff>523003</xdr:rowOff>
    </xdr:to>
    <xdr:pic>
      <xdr:nvPicPr>
        <xdr:cNvPr id="2" name="Imagem 1" descr="Logo 1 CorelDraw">
          <a:extLst>
            <a:ext uri="{FF2B5EF4-FFF2-40B4-BE49-F238E27FC236}">
              <a16:creationId xmlns:a16="http://schemas.microsoft.com/office/drawing/2014/main" xmlns="" id="{B6DB89B8-25F0-441D-A343-43E8ADFBA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9769" y="43962"/>
          <a:ext cx="3793434" cy="479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520211</xdr:colOff>
      <xdr:row>0</xdr:row>
      <xdr:rowOff>43962</xdr:rowOff>
    </xdr:from>
    <xdr:to>
      <xdr:col>9</xdr:col>
      <xdr:colOff>327799</xdr:colOff>
      <xdr:row>0</xdr:row>
      <xdr:rowOff>523003</xdr:rowOff>
    </xdr:to>
    <xdr:pic>
      <xdr:nvPicPr>
        <xdr:cNvPr id="2" name="Imagem 1" descr="Logo 1 CorelDraw">
          <a:extLst>
            <a:ext uri="{FF2B5EF4-FFF2-40B4-BE49-F238E27FC236}">
              <a16:creationId xmlns:a16="http://schemas.microsoft.com/office/drawing/2014/main" xmlns="" id="{3831B04C-B9D3-4C49-9BF5-A4A33E35B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9036" y="43962"/>
          <a:ext cx="3798563" cy="479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RIO~1/AppData/Local/Temp/Rar$DIa31296.8133/PLANILHA%20M&#218;LTIPLA%20V3.0.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ento/Desktop/GAR&#199;A_2023/Ambulat&#243;rio%20escola%20Novo/ENTREGA%20FINAL/OR&#199;AMENTO/Nova%20pasta/COMPOSI&#199;&#213;ES%20BASE%20CDH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Gráfico1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  <sheetName val="MOBILIZAÇÃO DESMOBILIZAÇÃO"/>
    </sheetNames>
    <sheetDataSet>
      <sheetData sheetId="0"/>
      <sheetData sheetId="1">
        <row r="5">
          <cell r="F5" t="str">
            <v>Prefeitura Municipal de Flórida Paulista.</v>
          </cell>
        </row>
        <row r="6">
          <cell r="F6" t="str">
            <v>Flórida Paulista / SP</v>
          </cell>
        </row>
        <row r="7">
          <cell r="F7" t="str">
            <v>1004916-36/2013</v>
          </cell>
        </row>
        <row r="8">
          <cell r="F8" t="str">
            <v>784257/2013</v>
          </cell>
        </row>
        <row r="16">
          <cell r="F16" t="str">
            <v>REPROGRAMAÇÃO Construção e reforma de infraestrutura esportiva</v>
          </cell>
        </row>
        <row r="17">
          <cell r="F17" t="str">
            <v>Construção e reforma de infraestrutura esportiva</v>
          </cell>
        </row>
        <row r="18">
          <cell r="F18" t="str">
            <v>DESONERADO</v>
          </cell>
        </row>
        <row r="22">
          <cell r="F22" t="str">
            <v>Luana Barbosa Bomfim</v>
          </cell>
        </row>
        <row r="23">
          <cell r="F23" t="str">
            <v>5070235687</v>
          </cell>
        </row>
        <row r="24">
          <cell r="F24" t="str">
            <v>28027230200378937</v>
          </cell>
        </row>
      </sheetData>
      <sheetData sheetId="2"/>
      <sheetData sheetId="3">
        <row r="138">
          <cell r="A138" t="str">
            <v>(SELECIONAR)</v>
          </cell>
        </row>
        <row r="139">
          <cell r="A139" t="str">
            <v>Construção e Reforma de Edifícios</v>
          </cell>
        </row>
        <row r="140">
          <cell r="A140" t="str">
            <v>Construção de Praças Urbanas, Rodovias, Ferrovias e recapeamento e pavimentação de vias urbanas</v>
          </cell>
        </row>
        <row r="141">
          <cell r="A141" t="str">
            <v>Construção de Redes de Abastecimento de Água, Coleta de Esgoto</v>
          </cell>
        </row>
        <row r="142">
          <cell r="A142" t="str">
            <v>Construção e Manutenção de Estações e Redes de Distribuição de Energia Elétrica</v>
          </cell>
        </row>
        <row r="143">
          <cell r="A143" t="str">
            <v>Obras Portuárias, Marítimas e Fluviais</v>
          </cell>
        </row>
        <row r="144">
          <cell r="A144" t="str">
            <v>Fornecimento de Materiais e Equipamentos (aquisição indireta - em conjunto com licitação de obras)</v>
          </cell>
        </row>
        <row r="145">
          <cell r="A145" t="str">
            <v>Fornecimento de Materiais e Equipamentos (aquisição direta)</v>
          </cell>
        </row>
        <row r="146">
          <cell r="A146" t="str">
            <v>Estudos e Projetos, Planos e Gerenciamento e outros correlatos</v>
          </cell>
        </row>
      </sheetData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</sheetNames>
    <sheetDataSet>
      <sheetData sheetId="0">
        <row r="7">
          <cell r="B7" t="str">
            <v>C080107</v>
          </cell>
        </row>
        <row r="19">
          <cell r="B19" t="str">
            <v>C080108</v>
          </cell>
        </row>
        <row r="30">
          <cell r="B30" t="str">
            <v>C080109</v>
          </cell>
        </row>
        <row r="41">
          <cell r="B41" t="str">
            <v>C080110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66"/>
  <sheetViews>
    <sheetView tabSelected="1" zoomScaleNormal="100" workbookViewId="0">
      <pane xSplit="7" ySplit="9" topLeftCell="H10" activePane="bottomRight" state="frozen"/>
      <selection pane="topRight" activeCell="G1" sqref="G1"/>
      <selection pane="bottomLeft" activeCell="A9" sqref="A9"/>
      <selection pane="bottomRight" activeCell="D63" sqref="D63"/>
    </sheetView>
  </sheetViews>
  <sheetFormatPr defaultRowHeight="15" x14ac:dyDescent="0.25"/>
  <cols>
    <col min="1" max="1" width="9" style="132" customWidth="1"/>
    <col min="2" max="3" width="8.85546875" style="132" customWidth="1"/>
    <col min="4" max="4" width="73.7109375" customWidth="1"/>
    <col min="5" max="5" width="4.85546875" style="132" customWidth="1"/>
    <col min="6" max="6" width="8.5703125" style="132" customWidth="1"/>
    <col min="7" max="7" width="11.140625" style="132" customWidth="1"/>
    <col min="8" max="8" width="15.7109375" style="132" customWidth="1"/>
    <col min="9" max="9" width="11.140625" style="190" customWidth="1"/>
    <col min="10" max="10" width="11" style="184" customWidth="1"/>
    <col min="11" max="11" width="15.140625" style="184" customWidth="1"/>
    <col min="12" max="12" width="28.140625" style="184" customWidth="1"/>
    <col min="13" max="15" width="9.140625" style="184" customWidth="1"/>
    <col min="16" max="17" width="35.42578125" style="184" customWidth="1"/>
    <col min="18" max="18" width="11.140625" style="173" customWidth="1"/>
    <col min="19" max="19" width="15.7109375" style="209" customWidth="1"/>
    <col min="20" max="21" width="9.140625" style="184" customWidth="1"/>
    <col min="22" max="22" width="17.85546875" style="184" customWidth="1"/>
    <col min="23" max="27" width="9.140625" style="184" customWidth="1"/>
    <col min="28" max="28" width="12.7109375" style="184" customWidth="1"/>
    <col min="29" max="40" width="9.140625" style="184" customWidth="1"/>
    <col min="41" max="49" width="9.140625" style="184"/>
  </cols>
  <sheetData>
    <row r="1" spans="1:19" ht="44.25" customHeight="1" x14ac:dyDescent="0.25">
      <c r="A1" s="339"/>
      <c r="B1" s="340"/>
      <c r="C1" s="340"/>
      <c r="D1" s="340"/>
      <c r="E1" s="340"/>
      <c r="F1" s="340"/>
      <c r="G1" s="340"/>
      <c r="H1" s="341"/>
      <c r="I1" s="174"/>
      <c r="J1" s="182"/>
      <c r="K1" s="182"/>
      <c r="L1" s="182"/>
      <c r="M1" s="182"/>
      <c r="N1" s="182"/>
      <c r="O1" s="182"/>
      <c r="R1" s="207"/>
      <c r="S1" s="208"/>
    </row>
    <row r="2" spans="1:19" ht="11.25" customHeight="1" x14ac:dyDescent="0.25">
      <c r="A2" s="354" t="s">
        <v>956</v>
      </c>
      <c r="B2" s="355"/>
      <c r="C2" s="355"/>
      <c r="D2" s="355"/>
      <c r="E2" s="355"/>
      <c r="F2" s="355"/>
      <c r="G2" s="355"/>
      <c r="H2" s="356"/>
      <c r="I2" s="174"/>
      <c r="J2" s="182"/>
      <c r="K2" s="182"/>
      <c r="L2" s="182"/>
      <c r="M2" s="182"/>
      <c r="N2" s="182"/>
      <c r="O2" s="182"/>
    </row>
    <row r="3" spans="1:19" ht="11.25" customHeight="1" x14ac:dyDescent="0.25">
      <c r="A3" s="261"/>
      <c r="B3" s="262"/>
      <c r="C3" s="262"/>
      <c r="D3" s="262"/>
      <c r="E3" s="262"/>
      <c r="F3" s="156"/>
      <c r="G3" s="262"/>
      <c r="H3" s="336"/>
      <c r="I3" s="174"/>
      <c r="J3" s="182"/>
      <c r="K3" s="182"/>
      <c r="L3" s="182"/>
      <c r="M3" s="182"/>
      <c r="N3" s="182"/>
      <c r="O3" s="182"/>
    </row>
    <row r="4" spans="1:19" ht="18" customHeight="1" x14ac:dyDescent="0.25">
      <c r="A4" s="313" t="s">
        <v>226</v>
      </c>
      <c r="B4" s="268"/>
      <c r="C4" s="268"/>
      <c r="D4" s="138"/>
      <c r="E4" s="268"/>
      <c r="F4" s="268"/>
      <c r="G4" s="268"/>
      <c r="H4" s="434"/>
      <c r="I4" s="174"/>
      <c r="J4" s="182"/>
      <c r="K4" s="182"/>
      <c r="L4" s="182"/>
      <c r="M4" s="182"/>
      <c r="N4" s="182"/>
      <c r="O4" s="182"/>
    </row>
    <row r="5" spans="1:19" x14ac:dyDescent="0.25">
      <c r="A5" s="313" t="s">
        <v>227</v>
      </c>
      <c r="B5" s="268"/>
      <c r="C5" s="268"/>
      <c r="D5" s="138"/>
      <c r="E5" s="268"/>
      <c r="F5" s="268"/>
      <c r="G5" s="268"/>
      <c r="H5" s="434"/>
      <c r="I5" s="174"/>
      <c r="J5" s="182"/>
      <c r="K5" s="182"/>
      <c r="L5" s="182"/>
      <c r="M5" s="182"/>
      <c r="N5" s="182"/>
      <c r="O5" s="182"/>
    </row>
    <row r="6" spans="1:19" ht="15.75" thickBot="1" x14ac:dyDescent="0.3">
      <c r="A6" s="313" t="s">
        <v>228</v>
      </c>
      <c r="B6" s="268"/>
      <c r="C6" s="268"/>
      <c r="D6" s="138"/>
      <c r="E6" s="268"/>
      <c r="F6" s="268"/>
      <c r="G6" s="268"/>
      <c r="H6" s="434" t="s">
        <v>156</v>
      </c>
      <c r="I6" s="174"/>
      <c r="J6" s="182"/>
      <c r="K6" s="182"/>
      <c r="L6" s="182"/>
      <c r="M6" s="182"/>
      <c r="N6" s="182"/>
      <c r="O6" s="182"/>
      <c r="R6" s="210"/>
      <c r="S6" s="211"/>
    </row>
    <row r="7" spans="1:19" ht="15.75" thickBot="1" x14ac:dyDescent="0.3">
      <c r="A7" s="313" t="s">
        <v>1272</v>
      </c>
      <c r="B7" s="268"/>
      <c r="C7" s="268"/>
      <c r="D7" s="138"/>
      <c r="E7" s="268"/>
      <c r="F7" s="268"/>
      <c r="G7" s="268"/>
      <c r="H7" s="435">
        <v>0.26350000000000001</v>
      </c>
      <c r="I7" s="174"/>
      <c r="J7" s="182"/>
      <c r="K7" s="182"/>
      <c r="L7" s="182"/>
      <c r="M7" s="182"/>
      <c r="N7" s="182"/>
      <c r="O7" s="182"/>
      <c r="R7" s="212"/>
      <c r="S7" s="213"/>
    </row>
    <row r="8" spans="1:19" x14ac:dyDescent="0.25">
      <c r="A8" s="357" t="s">
        <v>1241</v>
      </c>
      <c r="B8" s="358"/>
      <c r="C8" s="358"/>
      <c r="D8" s="358"/>
      <c r="E8" s="358"/>
      <c r="F8" s="358"/>
      <c r="G8" s="358"/>
      <c r="H8" s="434"/>
      <c r="I8" s="174"/>
      <c r="J8" s="182"/>
      <c r="K8" s="182"/>
      <c r="L8" s="182"/>
      <c r="M8" s="182"/>
      <c r="N8" s="182"/>
      <c r="O8" s="182"/>
      <c r="R8" s="210"/>
      <c r="S8" s="214"/>
    </row>
    <row r="9" spans="1:19" x14ac:dyDescent="0.25">
      <c r="A9" s="139" t="s">
        <v>23</v>
      </c>
      <c r="B9" s="1" t="s">
        <v>980</v>
      </c>
      <c r="C9" s="1" t="s">
        <v>979</v>
      </c>
      <c r="D9" s="97" t="s">
        <v>24</v>
      </c>
      <c r="E9" s="97" t="s">
        <v>25</v>
      </c>
      <c r="F9" s="157" t="s">
        <v>26</v>
      </c>
      <c r="G9" s="98" t="s">
        <v>27</v>
      </c>
      <c r="H9" s="319" t="s">
        <v>28</v>
      </c>
      <c r="I9" s="174"/>
      <c r="J9" s="182"/>
      <c r="K9" s="182"/>
      <c r="L9" s="182"/>
      <c r="M9" s="182"/>
      <c r="N9" s="182"/>
      <c r="O9" s="182"/>
      <c r="R9" s="215"/>
      <c r="S9" s="216"/>
    </row>
    <row r="10" spans="1:19" x14ac:dyDescent="0.25">
      <c r="A10" s="140" t="s">
        <v>86</v>
      </c>
      <c r="B10" s="1"/>
      <c r="C10" s="87"/>
      <c r="D10" s="94" t="s">
        <v>0</v>
      </c>
      <c r="E10" s="90"/>
      <c r="F10" s="282"/>
      <c r="G10" s="282"/>
      <c r="H10" s="320"/>
      <c r="I10" s="174"/>
      <c r="J10" s="182"/>
      <c r="K10" s="182"/>
      <c r="L10" s="182"/>
      <c r="M10" s="182"/>
      <c r="N10" s="182"/>
      <c r="O10" s="182"/>
    </row>
    <row r="11" spans="1:19" x14ac:dyDescent="0.25">
      <c r="A11" s="140" t="s">
        <v>1</v>
      </c>
      <c r="B11" s="1"/>
      <c r="C11" s="1"/>
      <c r="D11" s="99" t="s">
        <v>2</v>
      </c>
      <c r="E11" s="100"/>
      <c r="F11" s="158"/>
      <c r="G11" s="101"/>
      <c r="H11" s="321"/>
      <c r="I11" s="174"/>
      <c r="J11" s="182"/>
      <c r="K11" s="182"/>
      <c r="L11" s="182"/>
      <c r="M11" s="182"/>
      <c r="N11" s="182"/>
      <c r="O11" s="182"/>
    </row>
    <row r="12" spans="1:19" x14ac:dyDescent="0.25">
      <c r="A12" s="140" t="s">
        <v>3</v>
      </c>
      <c r="B12" s="1" t="s">
        <v>981</v>
      </c>
      <c r="C12" s="1" t="s">
        <v>29</v>
      </c>
      <c r="D12" s="3" t="s">
        <v>30</v>
      </c>
      <c r="E12" s="11" t="s">
        <v>4</v>
      </c>
      <c r="F12" s="197" t="s">
        <v>230</v>
      </c>
      <c r="G12" s="13">
        <v>51.1</v>
      </c>
      <c r="H12" s="322">
        <f>F12*G12</f>
        <v>629.55200000000002</v>
      </c>
      <c r="I12" s="175"/>
      <c r="J12" s="182"/>
      <c r="K12" s="182"/>
      <c r="L12" s="182"/>
      <c r="M12" s="182"/>
      <c r="N12" s="182"/>
      <c r="O12" s="182"/>
    </row>
    <row r="13" spans="1:19" x14ac:dyDescent="0.25">
      <c r="A13" s="140" t="s">
        <v>89</v>
      </c>
      <c r="B13" s="1" t="s">
        <v>981</v>
      </c>
      <c r="C13" s="1" t="s">
        <v>55</v>
      </c>
      <c r="D13" s="3" t="s">
        <v>56</v>
      </c>
      <c r="E13" s="11" t="s">
        <v>4</v>
      </c>
      <c r="F13" s="197" t="s">
        <v>33</v>
      </c>
      <c r="G13" s="13">
        <v>4.05</v>
      </c>
      <c r="H13" s="322">
        <f>F13*G13</f>
        <v>12.149999999999999</v>
      </c>
      <c r="I13" s="174"/>
      <c r="J13" s="217"/>
      <c r="K13" s="182"/>
      <c r="L13" s="182"/>
      <c r="M13" s="182"/>
      <c r="N13" s="182"/>
      <c r="O13" s="182"/>
    </row>
    <row r="14" spans="1:19" ht="22.5" x14ac:dyDescent="0.25">
      <c r="A14" s="140" t="s">
        <v>90</v>
      </c>
      <c r="B14" s="1" t="s">
        <v>982</v>
      </c>
      <c r="C14" s="1" t="s">
        <v>983</v>
      </c>
      <c r="D14" s="48" t="s">
        <v>1176</v>
      </c>
      <c r="E14" s="11" t="s">
        <v>4</v>
      </c>
      <c r="F14" s="198" t="s">
        <v>231</v>
      </c>
      <c r="G14" s="13">
        <v>103.46</v>
      </c>
      <c r="H14" s="322">
        <f>F14*G14</f>
        <v>413.84</v>
      </c>
      <c r="I14" s="176"/>
      <c r="J14" s="218"/>
      <c r="K14" s="218"/>
      <c r="L14" s="219"/>
      <c r="N14" s="182"/>
      <c r="R14" s="220"/>
    </row>
    <row r="15" spans="1:19" x14ac:dyDescent="0.25">
      <c r="A15" s="362" t="s">
        <v>96</v>
      </c>
      <c r="B15" s="363"/>
      <c r="C15" s="363"/>
      <c r="D15" s="363"/>
      <c r="E15" s="363"/>
      <c r="F15" s="363"/>
      <c r="G15" s="363"/>
      <c r="H15" s="436">
        <f>H12+H13+H14</f>
        <v>1055.5419999999999</v>
      </c>
      <c r="I15" s="174"/>
      <c r="J15" s="182"/>
      <c r="K15" s="182"/>
      <c r="L15" s="182"/>
      <c r="N15" s="182"/>
      <c r="S15" s="221"/>
    </row>
    <row r="16" spans="1:19" x14ac:dyDescent="0.25">
      <c r="A16" s="359" t="s">
        <v>889</v>
      </c>
      <c r="B16" s="360"/>
      <c r="C16" s="360"/>
      <c r="D16" s="361"/>
      <c r="E16" s="361"/>
      <c r="F16" s="361"/>
      <c r="G16" s="361"/>
      <c r="H16" s="437">
        <f>H15</f>
        <v>1055.5419999999999</v>
      </c>
      <c r="I16" s="174"/>
      <c r="J16" s="182"/>
      <c r="K16" s="182"/>
      <c r="L16" s="182"/>
      <c r="N16" s="182"/>
      <c r="S16" s="222"/>
    </row>
    <row r="17" spans="1:19" x14ac:dyDescent="0.25">
      <c r="A17" s="141" t="s">
        <v>91</v>
      </c>
      <c r="B17" s="1"/>
      <c r="C17" s="87"/>
      <c r="D17" s="2" t="s">
        <v>5</v>
      </c>
      <c r="E17" s="90"/>
      <c r="F17" s="159"/>
      <c r="G17" s="91"/>
      <c r="H17" s="320"/>
      <c r="I17" s="174"/>
      <c r="J17" s="182"/>
      <c r="K17" s="182"/>
      <c r="L17" s="182"/>
      <c r="N17" s="182"/>
    </row>
    <row r="18" spans="1:19" x14ac:dyDescent="0.25">
      <c r="A18" s="141" t="s">
        <v>549</v>
      </c>
      <c r="B18" s="1" t="s">
        <v>981</v>
      </c>
      <c r="C18" s="1" t="s">
        <v>31</v>
      </c>
      <c r="D18" s="88" t="s">
        <v>1173</v>
      </c>
      <c r="E18" s="89" t="s">
        <v>6</v>
      </c>
      <c r="F18" s="199" t="s">
        <v>247</v>
      </c>
      <c r="G18" s="111">
        <v>1240.77</v>
      </c>
      <c r="H18" s="323">
        <f>F18*G18</f>
        <v>18611.55</v>
      </c>
      <c r="I18" s="177"/>
      <c r="J18" s="182"/>
      <c r="K18" s="182"/>
      <c r="L18" s="182"/>
      <c r="N18" s="182"/>
    </row>
    <row r="19" spans="1:19" x14ac:dyDescent="0.25">
      <c r="A19" s="141" t="s">
        <v>550</v>
      </c>
      <c r="B19" s="1" t="s">
        <v>982</v>
      </c>
      <c r="C19" s="1" t="s">
        <v>984</v>
      </c>
      <c r="D19" s="3" t="s">
        <v>32</v>
      </c>
      <c r="E19" s="4" t="s">
        <v>6</v>
      </c>
      <c r="F19" s="197" t="s">
        <v>33</v>
      </c>
      <c r="G19" s="13">
        <v>915.72</v>
      </c>
      <c r="H19" s="322">
        <f>F19*G19</f>
        <v>2747.16</v>
      </c>
      <c r="I19" s="176"/>
      <c r="J19" s="217"/>
      <c r="K19" s="182"/>
      <c r="L19" s="182"/>
      <c r="N19" s="182"/>
      <c r="R19" s="220"/>
    </row>
    <row r="20" spans="1:19" ht="22.5" x14ac:dyDescent="0.25">
      <c r="A20" s="141" t="s">
        <v>551</v>
      </c>
      <c r="B20" s="1" t="s">
        <v>981</v>
      </c>
      <c r="C20" s="1" t="s">
        <v>34</v>
      </c>
      <c r="D20" s="48" t="s">
        <v>985</v>
      </c>
      <c r="E20" s="11" t="s">
        <v>35</v>
      </c>
      <c r="F20" s="197" t="s">
        <v>229</v>
      </c>
      <c r="G20" s="115">
        <v>64.91</v>
      </c>
      <c r="H20" s="322">
        <f>F20*G20</f>
        <v>10385.599999999999</v>
      </c>
      <c r="I20" s="174"/>
      <c r="J20" s="182"/>
      <c r="K20" s="182"/>
      <c r="L20" s="182"/>
      <c r="M20" s="182"/>
      <c r="N20" s="182"/>
      <c r="O20" s="182"/>
    </row>
    <row r="21" spans="1:19" x14ac:dyDescent="0.25">
      <c r="A21" s="342" t="s">
        <v>97</v>
      </c>
      <c r="B21" s="343"/>
      <c r="C21" s="343"/>
      <c r="D21" s="343"/>
      <c r="E21" s="343"/>
      <c r="F21" s="343"/>
      <c r="G21" s="343"/>
      <c r="H21" s="438">
        <f>H18+H19+H20</f>
        <v>31744.309999999998</v>
      </c>
      <c r="I21" s="174"/>
      <c r="J21" s="182"/>
      <c r="K21" s="182"/>
      <c r="L21" s="182"/>
      <c r="M21" s="182"/>
      <c r="N21" s="182"/>
      <c r="O21" s="182"/>
      <c r="S21" s="221"/>
    </row>
    <row r="22" spans="1:19" x14ac:dyDescent="0.25">
      <c r="A22" s="359" t="s">
        <v>146</v>
      </c>
      <c r="B22" s="360"/>
      <c r="C22" s="360"/>
      <c r="D22" s="361"/>
      <c r="E22" s="361"/>
      <c r="F22" s="361"/>
      <c r="G22" s="361"/>
      <c r="H22" s="437">
        <f>H21</f>
        <v>31744.309999999998</v>
      </c>
      <c r="I22" s="174"/>
      <c r="J22" s="217"/>
      <c r="K22" s="182"/>
      <c r="L22" s="182"/>
      <c r="M22" s="182"/>
      <c r="N22" s="182"/>
      <c r="O22" s="182"/>
      <c r="S22" s="222"/>
    </row>
    <row r="23" spans="1:19" x14ac:dyDescent="0.25">
      <c r="A23" s="141" t="s">
        <v>87</v>
      </c>
      <c r="B23" s="263"/>
      <c r="C23" s="131"/>
      <c r="D23" s="95" t="s">
        <v>232</v>
      </c>
      <c r="E23" s="266"/>
      <c r="F23" s="160"/>
      <c r="G23" s="266"/>
      <c r="H23" s="439"/>
      <c r="I23" s="174"/>
      <c r="J23" s="182"/>
      <c r="K23" s="182"/>
      <c r="L23" s="182"/>
      <c r="M23" s="182"/>
      <c r="N23" s="182"/>
      <c r="O23" s="182"/>
    </row>
    <row r="24" spans="1:19" ht="22.5" x14ac:dyDescent="0.25">
      <c r="A24" s="141" t="s">
        <v>88</v>
      </c>
      <c r="B24" s="15" t="s">
        <v>981</v>
      </c>
      <c r="C24" s="15">
        <v>101114</v>
      </c>
      <c r="D24" s="92" t="s">
        <v>233</v>
      </c>
      <c r="E24" s="93" t="s">
        <v>4</v>
      </c>
      <c r="F24" s="111">
        <v>1388.49</v>
      </c>
      <c r="G24" s="111">
        <v>4.08</v>
      </c>
      <c r="H24" s="324">
        <f>F24*G24</f>
        <v>5665.0392000000002</v>
      </c>
      <c r="I24" s="174"/>
      <c r="J24" s="204"/>
      <c r="K24" s="182"/>
      <c r="L24" s="182"/>
      <c r="M24" s="182"/>
      <c r="N24" s="182"/>
      <c r="O24" s="182"/>
      <c r="R24" s="223"/>
    </row>
    <row r="25" spans="1:19" ht="33.75" x14ac:dyDescent="0.25">
      <c r="A25" s="141" t="s">
        <v>92</v>
      </c>
      <c r="B25" s="15" t="s">
        <v>981</v>
      </c>
      <c r="C25" s="15">
        <v>93370</v>
      </c>
      <c r="D25" s="49" t="s">
        <v>234</v>
      </c>
      <c r="E25" s="11" t="s">
        <v>4</v>
      </c>
      <c r="F25" s="13">
        <v>248.58</v>
      </c>
      <c r="G25" s="13">
        <v>13.54</v>
      </c>
      <c r="H25" s="325">
        <f>F25*G25</f>
        <v>3365.7732000000001</v>
      </c>
      <c r="I25" s="174"/>
      <c r="J25" s="253"/>
      <c r="K25" s="253"/>
      <c r="L25" s="254"/>
      <c r="M25" s="254"/>
      <c r="N25" s="255"/>
      <c r="O25" s="182"/>
      <c r="R25" s="223"/>
    </row>
    <row r="26" spans="1:19" ht="20.100000000000001" hidden="1" customHeight="1" thickBot="1" x14ac:dyDescent="0.3">
      <c r="A26" s="313"/>
      <c r="B26" s="268"/>
      <c r="C26" s="268"/>
      <c r="D26" s="138"/>
      <c r="E26" s="268"/>
      <c r="F26" s="268"/>
      <c r="G26" s="268"/>
      <c r="H26" s="434"/>
      <c r="I26" s="174"/>
      <c r="J26" s="253"/>
      <c r="K26" s="253"/>
      <c r="L26" s="254"/>
      <c r="M26" s="254"/>
      <c r="N26" s="255"/>
      <c r="O26" s="182"/>
    </row>
    <row r="27" spans="1:19" ht="20.100000000000001" customHeight="1" x14ac:dyDescent="0.25">
      <c r="A27" s="342" t="s">
        <v>899</v>
      </c>
      <c r="B27" s="343"/>
      <c r="C27" s="343"/>
      <c r="D27" s="343"/>
      <c r="E27" s="343"/>
      <c r="F27" s="343"/>
      <c r="G27" s="343"/>
      <c r="H27" s="438">
        <f>H24+H25</f>
        <v>9030.8124000000007</v>
      </c>
      <c r="I27" s="174"/>
      <c r="J27" s="253"/>
      <c r="K27" s="253"/>
      <c r="L27" s="254"/>
      <c r="M27" s="254"/>
      <c r="N27" s="182"/>
      <c r="O27" s="182"/>
      <c r="S27" s="221"/>
    </row>
    <row r="28" spans="1:19" ht="20.100000000000001" customHeight="1" x14ac:dyDescent="0.25">
      <c r="A28" s="359" t="s">
        <v>930</v>
      </c>
      <c r="B28" s="360"/>
      <c r="C28" s="360"/>
      <c r="D28" s="361"/>
      <c r="E28" s="361"/>
      <c r="F28" s="361"/>
      <c r="G28" s="361"/>
      <c r="H28" s="437">
        <f>H27</f>
        <v>9030.8124000000007</v>
      </c>
      <c r="I28" s="174"/>
      <c r="J28" s="253"/>
      <c r="K28" s="253"/>
      <c r="L28" s="254"/>
      <c r="M28" s="254"/>
      <c r="N28" s="255"/>
      <c r="O28" s="182"/>
      <c r="S28" s="222"/>
    </row>
    <row r="29" spans="1:19" ht="20.100000000000001" customHeight="1" x14ac:dyDescent="0.25">
      <c r="A29" s="142" t="s">
        <v>93</v>
      </c>
      <c r="B29" s="124"/>
      <c r="C29" s="305"/>
      <c r="D29" s="95" t="s">
        <v>147</v>
      </c>
      <c r="E29" s="269"/>
      <c r="F29" s="161"/>
      <c r="G29" s="112"/>
      <c r="H29" s="440"/>
      <c r="I29" s="174"/>
      <c r="J29" s="253"/>
      <c r="K29" s="253"/>
      <c r="L29" s="254"/>
      <c r="M29" s="254"/>
      <c r="N29" s="182"/>
      <c r="O29" s="182"/>
    </row>
    <row r="30" spans="1:19" ht="14.25" customHeight="1" x14ac:dyDescent="0.25">
      <c r="A30" s="142" t="s">
        <v>575</v>
      </c>
      <c r="B30" s="124"/>
      <c r="C30" s="124"/>
      <c r="D30" s="96" t="s">
        <v>84</v>
      </c>
      <c r="E30" s="270"/>
      <c r="F30" s="283"/>
      <c r="G30" s="292"/>
      <c r="H30" s="441"/>
      <c r="I30" s="174"/>
      <c r="J30" s="224"/>
      <c r="K30" s="225"/>
      <c r="L30" s="182"/>
      <c r="M30" s="182"/>
      <c r="N30" s="182"/>
      <c r="O30" s="182"/>
    </row>
    <row r="31" spans="1:19" x14ac:dyDescent="0.25">
      <c r="A31" s="142" t="s">
        <v>576</v>
      </c>
      <c r="B31" s="15" t="s">
        <v>982</v>
      </c>
      <c r="C31" s="15" t="s">
        <v>993</v>
      </c>
      <c r="D31" s="47" t="s">
        <v>994</v>
      </c>
      <c r="E31" s="11" t="s">
        <v>992</v>
      </c>
      <c r="F31" s="53">
        <v>1</v>
      </c>
      <c r="G31" s="13">
        <v>6047.13</v>
      </c>
      <c r="H31" s="325">
        <f>F31*G31</f>
        <v>6047.13</v>
      </c>
      <c r="I31" s="178"/>
      <c r="J31" s="224"/>
      <c r="K31" s="226"/>
      <c r="L31" s="182"/>
      <c r="M31" s="182"/>
      <c r="N31" s="182"/>
      <c r="O31" s="182"/>
    </row>
    <row r="32" spans="1:19" x14ac:dyDescent="0.25">
      <c r="A32" s="142" t="s">
        <v>576</v>
      </c>
      <c r="B32" s="15" t="s">
        <v>981</v>
      </c>
      <c r="C32" s="150">
        <v>100657</v>
      </c>
      <c r="D32" s="123" t="s">
        <v>986</v>
      </c>
      <c r="E32" s="11" t="s">
        <v>8</v>
      </c>
      <c r="F32" s="53">
        <v>2352</v>
      </c>
      <c r="G32" s="13">
        <v>153.66</v>
      </c>
      <c r="H32" s="325">
        <f>F32*G32</f>
        <v>361408.32</v>
      </c>
      <c r="I32" s="176"/>
      <c r="J32" s="224"/>
      <c r="K32" s="226"/>
      <c r="L32" s="182"/>
      <c r="M32" s="182"/>
      <c r="N32" s="182"/>
      <c r="O32" s="182"/>
    </row>
    <row r="33" spans="1:91" x14ac:dyDescent="0.25">
      <c r="A33" s="142" t="s">
        <v>987</v>
      </c>
      <c r="B33" s="15" t="s">
        <v>982</v>
      </c>
      <c r="C33" s="15" t="s">
        <v>990</v>
      </c>
      <c r="D33" s="47" t="s">
        <v>991</v>
      </c>
      <c r="E33" s="11" t="s">
        <v>992</v>
      </c>
      <c r="F33" s="53">
        <v>1</v>
      </c>
      <c r="G33" s="13">
        <v>2066.65</v>
      </c>
      <c r="H33" s="325">
        <f>F33*G33</f>
        <v>2066.65</v>
      </c>
      <c r="I33" s="178"/>
      <c r="J33" s="224"/>
      <c r="K33" s="226"/>
      <c r="L33" s="182"/>
      <c r="M33" s="182"/>
      <c r="N33" s="182"/>
      <c r="O33" s="182"/>
      <c r="R33" s="220"/>
    </row>
    <row r="34" spans="1:91" x14ac:dyDescent="0.25">
      <c r="A34" s="142" t="s">
        <v>987</v>
      </c>
      <c r="B34" s="15" t="s">
        <v>982</v>
      </c>
      <c r="C34" s="15" t="s">
        <v>988</v>
      </c>
      <c r="D34" s="47" t="s">
        <v>989</v>
      </c>
      <c r="E34" s="11" t="s">
        <v>8</v>
      </c>
      <c r="F34" s="53">
        <v>384</v>
      </c>
      <c r="G34" s="13">
        <v>73.599999999999994</v>
      </c>
      <c r="H34" s="325">
        <f>F34*G34</f>
        <v>28262.399999999998</v>
      </c>
      <c r="I34" s="176"/>
      <c r="J34" s="224"/>
      <c r="K34" s="227"/>
      <c r="L34" s="182"/>
      <c r="M34" s="182"/>
      <c r="N34" s="182"/>
      <c r="O34" s="182"/>
      <c r="R34" s="220"/>
      <c r="AX34" s="138"/>
      <c r="AY34" s="138"/>
      <c r="AZ34" s="138"/>
      <c r="BA34" s="138"/>
      <c r="BB34" s="138"/>
      <c r="BC34" s="138"/>
      <c r="BD34" s="138"/>
      <c r="BE34" s="138"/>
      <c r="BF34" s="138"/>
      <c r="BG34" s="138"/>
      <c r="BH34" s="138"/>
      <c r="BI34" s="138"/>
      <c r="BJ34" s="138"/>
      <c r="BK34" s="138"/>
      <c r="BL34" s="138"/>
      <c r="BM34" s="138"/>
      <c r="BN34" s="138"/>
      <c r="BO34" s="138"/>
      <c r="BP34" s="138"/>
      <c r="BQ34" s="138"/>
      <c r="BR34" s="138"/>
      <c r="BS34" s="138"/>
      <c r="BT34" s="138"/>
      <c r="BU34" s="138"/>
      <c r="BV34" s="138"/>
      <c r="BW34" s="138"/>
      <c r="BX34" s="138"/>
      <c r="BY34" s="138"/>
      <c r="BZ34" s="138"/>
      <c r="CA34" s="138"/>
      <c r="CB34" s="138"/>
      <c r="CC34" s="138"/>
      <c r="CD34" s="138"/>
      <c r="CE34" s="138"/>
      <c r="CF34" s="138"/>
      <c r="CG34" s="138"/>
      <c r="CH34" s="138"/>
      <c r="CI34" s="138"/>
      <c r="CJ34" s="138"/>
      <c r="CK34" s="138"/>
      <c r="CL34" s="138"/>
      <c r="CM34" s="138"/>
    </row>
    <row r="35" spans="1:91" ht="15" customHeight="1" x14ac:dyDescent="0.25">
      <c r="A35" s="342" t="s">
        <v>995</v>
      </c>
      <c r="B35" s="343"/>
      <c r="C35" s="343"/>
      <c r="D35" s="343"/>
      <c r="E35" s="343"/>
      <c r="F35" s="343"/>
      <c r="G35" s="343"/>
      <c r="H35" s="438">
        <f>H31+H32+H33+H34</f>
        <v>397784.50000000006</v>
      </c>
      <c r="I35" s="386"/>
      <c r="J35" s="386"/>
      <c r="K35" s="387"/>
      <c r="L35" s="387"/>
      <c r="M35" s="387"/>
      <c r="N35" s="387"/>
      <c r="O35" s="387"/>
      <c r="S35" s="221"/>
      <c r="AX35" s="138"/>
      <c r="AY35" s="138"/>
      <c r="AZ35" s="138"/>
      <c r="BA35" s="138"/>
      <c r="BB35" s="138"/>
      <c r="BC35" s="138"/>
      <c r="BD35" s="138"/>
      <c r="BE35" s="138"/>
      <c r="BF35" s="138"/>
      <c r="BG35" s="138"/>
      <c r="BH35" s="138"/>
      <c r="BI35" s="138"/>
      <c r="BJ35" s="138"/>
      <c r="BK35" s="138"/>
      <c r="BL35" s="138"/>
      <c r="BM35" s="138"/>
      <c r="BN35" s="138"/>
      <c r="BO35" s="138"/>
      <c r="BP35" s="138"/>
      <c r="BQ35" s="138"/>
      <c r="BR35" s="138"/>
      <c r="BS35" s="138"/>
      <c r="BT35" s="138"/>
      <c r="BU35" s="138"/>
      <c r="BV35" s="138"/>
      <c r="BW35" s="138"/>
      <c r="BX35" s="138"/>
      <c r="BY35" s="138"/>
      <c r="BZ35" s="138"/>
      <c r="CA35" s="138"/>
      <c r="CB35" s="138"/>
      <c r="CC35" s="138"/>
      <c r="CD35" s="138"/>
      <c r="CE35" s="138"/>
      <c r="CF35" s="138"/>
      <c r="CG35" s="138"/>
      <c r="CH35" s="138"/>
      <c r="CI35" s="138"/>
      <c r="CJ35" s="138"/>
      <c r="CK35" s="138"/>
      <c r="CL35" s="138"/>
      <c r="CM35" s="138"/>
    </row>
    <row r="36" spans="1:91" x14ac:dyDescent="0.25">
      <c r="A36" s="141" t="s">
        <v>98</v>
      </c>
      <c r="B36" s="15"/>
      <c r="C36" s="15"/>
      <c r="D36" s="5" t="s">
        <v>85</v>
      </c>
      <c r="E36" s="271"/>
      <c r="F36" s="284"/>
      <c r="G36" s="13"/>
      <c r="H36" s="442"/>
      <c r="I36" s="174"/>
      <c r="J36" s="182"/>
      <c r="K36" s="182"/>
      <c r="L36" s="182"/>
      <c r="M36" s="182"/>
      <c r="N36" s="182"/>
      <c r="O36" s="182"/>
    </row>
    <row r="37" spans="1:91" ht="22.5" x14ac:dyDescent="0.25">
      <c r="A37" s="141" t="s">
        <v>95</v>
      </c>
      <c r="B37" s="15" t="s">
        <v>981</v>
      </c>
      <c r="C37" s="15">
        <v>96523</v>
      </c>
      <c r="D37" s="47" t="s">
        <v>241</v>
      </c>
      <c r="E37" s="11" t="s">
        <v>4</v>
      </c>
      <c r="F37" s="53">
        <v>114.6</v>
      </c>
      <c r="G37" s="13">
        <v>121.15</v>
      </c>
      <c r="H37" s="325">
        <f>F37*G37</f>
        <v>13883.789999999999</v>
      </c>
      <c r="I37" s="174"/>
      <c r="J37" s="182"/>
      <c r="K37" s="182"/>
      <c r="L37" s="182"/>
      <c r="M37" s="182"/>
      <c r="N37" s="182"/>
      <c r="O37" s="182"/>
    </row>
    <row r="38" spans="1:91" x14ac:dyDescent="0.25">
      <c r="A38" s="141" t="s">
        <v>552</v>
      </c>
      <c r="B38" s="15" t="s">
        <v>982</v>
      </c>
      <c r="C38" s="15" t="s">
        <v>998</v>
      </c>
      <c r="D38" s="47" t="s">
        <v>997</v>
      </c>
      <c r="E38" s="11" t="s">
        <v>4</v>
      </c>
      <c r="F38" s="53">
        <v>34.380000000000003</v>
      </c>
      <c r="G38" s="13">
        <v>62.89</v>
      </c>
      <c r="H38" s="325">
        <f>F38*G38</f>
        <v>2162.1582000000003</v>
      </c>
      <c r="I38" s="176"/>
      <c r="J38" s="182"/>
      <c r="K38" s="182"/>
      <c r="L38" s="182"/>
      <c r="M38" s="182"/>
      <c r="N38" s="182"/>
      <c r="O38" s="182"/>
    </row>
    <row r="39" spans="1:91" x14ac:dyDescent="0.25">
      <c r="A39" s="141" t="s">
        <v>553</v>
      </c>
      <c r="B39" s="15" t="s">
        <v>981</v>
      </c>
      <c r="C39" s="15">
        <v>96622</v>
      </c>
      <c r="D39" s="6" t="s">
        <v>36</v>
      </c>
      <c r="E39" s="11" t="s">
        <v>4</v>
      </c>
      <c r="F39" s="53">
        <v>3.82</v>
      </c>
      <c r="G39" s="13">
        <v>128.77000000000001</v>
      </c>
      <c r="H39" s="322">
        <f t="shared" ref="H39:H47" si="0">G39*F39</f>
        <v>491.90140000000002</v>
      </c>
      <c r="I39" s="174"/>
      <c r="J39" s="182"/>
      <c r="K39" s="182"/>
      <c r="L39" s="182"/>
      <c r="M39" s="182"/>
      <c r="N39" s="182"/>
      <c r="O39" s="182"/>
    </row>
    <row r="40" spans="1:91" ht="23.25" x14ac:dyDescent="0.25">
      <c r="A40" s="141" t="s">
        <v>554</v>
      </c>
      <c r="B40" s="15" t="s">
        <v>981</v>
      </c>
      <c r="C40" s="15">
        <v>96531</v>
      </c>
      <c r="D40" s="264" t="s">
        <v>240</v>
      </c>
      <c r="E40" s="11" t="s">
        <v>6</v>
      </c>
      <c r="F40" s="53">
        <v>251.82</v>
      </c>
      <c r="G40" s="13">
        <v>149.49</v>
      </c>
      <c r="H40" s="322">
        <f t="shared" si="0"/>
        <v>37644.571799999998</v>
      </c>
      <c r="I40" s="174"/>
      <c r="J40" s="182"/>
      <c r="K40" s="182"/>
      <c r="L40" s="182"/>
      <c r="M40" s="182"/>
      <c r="N40" s="182"/>
      <c r="O40" s="182"/>
    </row>
    <row r="41" spans="1:91" ht="23.25" x14ac:dyDescent="0.25">
      <c r="A41" s="141" t="s">
        <v>555</v>
      </c>
      <c r="B41" s="15" t="s">
        <v>981</v>
      </c>
      <c r="C41" s="15">
        <v>96543</v>
      </c>
      <c r="D41" s="264" t="s">
        <v>236</v>
      </c>
      <c r="E41" s="11" t="s">
        <v>7</v>
      </c>
      <c r="F41" s="53">
        <v>266.60000000000002</v>
      </c>
      <c r="G41" s="13">
        <v>18.98</v>
      </c>
      <c r="H41" s="322">
        <f t="shared" si="0"/>
        <v>5060.0680000000002</v>
      </c>
      <c r="I41" s="174"/>
      <c r="J41" s="182"/>
      <c r="K41" s="182"/>
      <c r="L41" s="182"/>
      <c r="M41" s="182"/>
      <c r="N41" s="182"/>
      <c r="O41" s="182"/>
    </row>
    <row r="42" spans="1:91" ht="23.25" x14ac:dyDescent="0.25">
      <c r="A42" s="141" t="s">
        <v>556</v>
      </c>
      <c r="B42" s="15" t="s">
        <v>981</v>
      </c>
      <c r="C42" s="15">
        <v>96544</v>
      </c>
      <c r="D42" s="264" t="s">
        <v>237</v>
      </c>
      <c r="E42" s="11" t="s">
        <v>7</v>
      </c>
      <c r="F42" s="53">
        <v>649</v>
      </c>
      <c r="G42" s="13">
        <v>16.98</v>
      </c>
      <c r="H42" s="322">
        <f t="shared" si="0"/>
        <v>11020.02</v>
      </c>
      <c r="I42" s="174"/>
      <c r="J42" s="182"/>
      <c r="K42" s="182"/>
      <c r="L42" s="182"/>
      <c r="M42" s="182"/>
      <c r="N42" s="182"/>
      <c r="O42" s="182"/>
    </row>
    <row r="43" spans="1:91" ht="23.25" x14ac:dyDescent="0.25">
      <c r="A43" s="141" t="s">
        <v>557</v>
      </c>
      <c r="B43" s="15" t="s">
        <v>981</v>
      </c>
      <c r="C43" s="15">
        <v>96546</v>
      </c>
      <c r="D43" s="264" t="s">
        <v>235</v>
      </c>
      <c r="E43" s="11" t="s">
        <v>7</v>
      </c>
      <c r="F43" s="53">
        <v>372.7</v>
      </c>
      <c r="G43" s="13">
        <v>13.38</v>
      </c>
      <c r="H43" s="322">
        <f t="shared" si="0"/>
        <v>4986.7260000000006</v>
      </c>
      <c r="I43" s="174"/>
      <c r="J43" s="182"/>
      <c r="K43" s="182"/>
      <c r="L43" s="182"/>
      <c r="M43" s="182"/>
      <c r="N43" s="182"/>
      <c r="O43" s="182"/>
    </row>
    <row r="44" spans="1:91" ht="23.25" x14ac:dyDescent="0.25">
      <c r="A44" s="141" t="s">
        <v>558</v>
      </c>
      <c r="B44" s="15" t="s">
        <v>981</v>
      </c>
      <c r="C44" s="15">
        <v>96547</v>
      </c>
      <c r="D44" s="264" t="s">
        <v>238</v>
      </c>
      <c r="E44" s="11" t="s">
        <v>7</v>
      </c>
      <c r="F44" s="53">
        <v>1672.5</v>
      </c>
      <c r="G44" s="13">
        <v>11.17</v>
      </c>
      <c r="H44" s="322">
        <f t="shared" si="0"/>
        <v>18681.825000000001</v>
      </c>
      <c r="I44" s="174"/>
      <c r="J44" s="182"/>
      <c r="K44" s="182"/>
      <c r="L44" s="182"/>
      <c r="M44" s="182"/>
      <c r="N44" s="182"/>
      <c r="O44" s="182"/>
    </row>
    <row r="45" spans="1:91" ht="23.25" x14ac:dyDescent="0.25">
      <c r="A45" s="141" t="s">
        <v>577</v>
      </c>
      <c r="B45" s="15" t="s">
        <v>981</v>
      </c>
      <c r="C45" s="15">
        <v>96548</v>
      </c>
      <c r="D45" s="264" t="s">
        <v>239</v>
      </c>
      <c r="E45" s="11" t="s">
        <v>7</v>
      </c>
      <c r="F45" s="53">
        <v>918</v>
      </c>
      <c r="G45" s="13">
        <v>10.3</v>
      </c>
      <c r="H45" s="322">
        <f t="shared" si="0"/>
        <v>9455.4000000000015</v>
      </c>
      <c r="I45" s="174"/>
      <c r="J45" s="182"/>
      <c r="K45" s="182"/>
      <c r="L45" s="182"/>
      <c r="M45" s="182"/>
      <c r="N45" s="182"/>
      <c r="O45" s="182"/>
    </row>
    <row r="46" spans="1:91" x14ac:dyDescent="0.25">
      <c r="A46" s="141" t="s">
        <v>996</v>
      </c>
      <c r="B46" s="15" t="s">
        <v>982</v>
      </c>
      <c r="C46" s="310" t="s">
        <v>1255</v>
      </c>
      <c r="D46" s="120" t="s">
        <v>1256</v>
      </c>
      <c r="E46" s="11" t="s">
        <v>4</v>
      </c>
      <c r="F46" s="53">
        <v>63.68</v>
      </c>
      <c r="G46" s="13">
        <v>171.74</v>
      </c>
      <c r="H46" s="322">
        <f t="shared" si="0"/>
        <v>10936.403200000001</v>
      </c>
      <c r="I46" s="174"/>
      <c r="J46" s="182"/>
      <c r="K46" s="182"/>
      <c r="L46" s="182"/>
      <c r="M46" s="182"/>
      <c r="N46" s="182"/>
      <c r="O46" s="182"/>
    </row>
    <row r="47" spans="1:91" ht="24.95" customHeight="1" x14ac:dyDescent="0.25">
      <c r="A47" s="167" t="s">
        <v>1254</v>
      </c>
      <c r="B47" s="15" t="s">
        <v>982</v>
      </c>
      <c r="C47" s="15" t="s">
        <v>1138</v>
      </c>
      <c r="D47" s="264" t="s">
        <v>1137</v>
      </c>
      <c r="E47" s="11" t="s">
        <v>4</v>
      </c>
      <c r="F47" s="53">
        <v>63.68</v>
      </c>
      <c r="G47" s="13">
        <v>538.59</v>
      </c>
      <c r="H47" s="322">
        <f t="shared" si="0"/>
        <v>34297.411200000002</v>
      </c>
      <c r="I47" s="176"/>
      <c r="J47" s="182"/>
      <c r="K47" s="182"/>
      <c r="L47" s="182"/>
      <c r="M47" s="182"/>
      <c r="N47" s="182"/>
      <c r="O47" s="182"/>
      <c r="R47" s="220"/>
    </row>
    <row r="48" spans="1:91" x14ac:dyDescent="0.25">
      <c r="A48" s="342" t="s">
        <v>99</v>
      </c>
      <c r="B48" s="343"/>
      <c r="C48" s="343"/>
      <c r="D48" s="343"/>
      <c r="E48" s="343"/>
      <c r="F48" s="343"/>
      <c r="G48" s="343"/>
      <c r="H48" s="438">
        <f>SUM(H37:H47)</f>
        <v>148620.27479999998</v>
      </c>
      <c r="I48" s="174"/>
      <c r="J48" s="182"/>
      <c r="K48" s="182"/>
      <c r="L48" s="182"/>
      <c r="M48" s="182"/>
      <c r="N48" s="182"/>
      <c r="O48" s="182"/>
      <c r="S48" s="221"/>
    </row>
    <row r="49" spans="1:21" x14ac:dyDescent="0.25">
      <c r="A49" s="141" t="s">
        <v>100</v>
      </c>
      <c r="B49" s="11"/>
      <c r="C49" s="11"/>
      <c r="D49" s="5" t="s">
        <v>246</v>
      </c>
      <c r="E49" s="11"/>
      <c r="F49" s="53"/>
      <c r="G49" s="13"/>
      <c r="H49" s="322"/>
      <c r="I49" s="174"/>
      <c r="J49" s="182"/>
      <c r="K49" s="182"/>
      <c r="L49" s="182"/>
      <c r="M49" s="182"/>
      <c r="N49" s="182"/>
      <c r="O49" s="182"/>
    </row>
    <row r="50" spans="1:21" ht="22.5" x14ac:dyDescent="0.25">
      <c r="A50" s="141" t="s">
        <v>101</v>
      </c>
      <c r="B50" s="15" t="s">
        <v>981</v>
      </c>
      <c r="C50" s="15">
        <v>96527</v>
      </c>
      <c r="D50" s="47" t="s">
        <v>242</v>
      </c>
      <c r="E50" s="11" t="s">
        <v>4</v>
      </c>
      <c r="F50" s="53">
        <v>29.12</v>
      </c>
      <c r="G50" s="13">
        <v>159.37</v>
      </c>
      <c r="H50" s="325">
        <f>F50*G50</f>
        <v>4640.8544000000002</v>
      </c>
      <c r="I50" s="174"/>
      <c r="J50" s="224"/>
      <c r="K50" s="224"/>
      <c r="L50" s="224"/>
      <c r="M50" s="224"/>
      <c r="N50" s="182"/>
      <c r="O50" s="182"/>
      <c r="U50" s="251"/>
    </row>
    <row r="51" spans="1:21" x14ac:dyDescent="0.25">
      <c r="A51" s="141" t="s">
        <v>529</v>
      </c>
      <c r="B51" s="15" t="s">
        <v>982</v>
      </c>
      <c r="C51" s="15" t="s">
        <v>998</v>
      </c>
      <c r="D51" s="47" t="s">
        <v>997</v>
      </c>
      <c r="E51" s="11" t="s">
        <v>4</v>
      </c>
      <c r="F51" s="53">
        <v>8.8000000000000007</v>
      </c>
      <c r="G51" s="13">
        <v>62.89</v>
      </c>
      <c r="H51" s="325">
        <f>F51*G51</f>
        <v>553.43200000000002</v>
      </c>
      <c r="I51" s="176"/>
      <c r="J51" s="224"/>
      <c r="K51" s="224"/>
      <c r="L51" s="224"/>
      <c r="M51" s="224"/>
      <c r="N51" s="182"/>
      <c r="O51" s="182"/>
      <c r="R51" s="220"/>
      <c r="U51" s="251"/>
    </row>
    <row r="52" spans="1:21" x14ac:dyDescent="0.25">
      <c r="A52" s="141" t="s">
        <v>102</v>
      </c>
      <c r="B52" s="15" t="s">
        <v>981</v>
      </c>
      <c r="C52" s="15">
        <v>96622</v>
      </c>
      <c r="D52" s="6" t="s">
        <v>36</v>
      </c>
      <c r="E52" s="11" t="s">
        <v>4</v>
      </c>
      <c r="F52" s="53">
        <v>4.8499999999999996</v>
      </c>
      <c r="G52" s="13">
        <v>128.77000000000001</v>
      </c>
      <c r="H52" s="322">
        <f>G52*F52</f>
        <v>624.53449999999998</v>
      </c>
      <c r="I52" s="174"/>
      <c r="J52" s="182"/>
      <c r="K52" s="182"/>
      <c r="L52" s="182"/>
      <c r="M52" s="182"/>
      <c r="N52" s="182"/>
      <c r="O52" s="182"/>
      <c r="T52" s="251"/>
      <c r="U52" s="251"/>
    </row>
    <row r="53" spans="1:21" ht="23.25" x14ac:dyDescent="0.25">
      <c r="A53" s="141" t="s">
        <v>530</v>
      </c>
      <c r="B53" s="15" t="s">
        <v>981</v>
      </c>
      <c r="C53" s="15">
        <v>96533</v>
      </c>
      <c r="D53" s="264" t="s">
        <v>245</v>
      </c>
      <c r="E53" s="11" t="s">
        <v>6</v>
      </c>
      <c r="F53" s="53">
        <v>464.64</v>
      </c>
      <c r="G53" s="13">
        <v>132.43</v>
      </c>
      <c r="H53" s="322">
        <f>G53*F53</f>
        <v>61532.275200000004</v>
      </c>
      <c r="I53" s="174"/>
      <c r="J53" s="182"/>
      <c r="K53" s="182"/>
      <c r="L53" s="182"/>
      <c r="M53" s="182"/>
      <c r="N53" s="182"/>
      <c r="O53" s="182"/>
      <c r="T53" s="251"/>
      <c r="U53" s="251"/>
    </row>
    <row r="54" spans="1:21" ht="23.25" x14ac:dyDescent="0.25">
      <c r="A54" s="141" t="s">
        <v>531</v>
      </c>
      <c r="B54" s="15" t="s">
        <v>981</v>
      </c>
      <c r="C54" s="15">
        <v>96543</v>
      </c>
      <c r="D54" s="264" t="s">
        <v>236</v>
      </c>
      <c r="E54" s="11" t="s">
        <v>7</v>
      </c>
      <c r="F54" s="53">
        <v>262</v>
      </c>
      <c r="G54" s="13">
        <v>18.98</v>
      </c>
      <c r="H54" s="322">
        <f t="shared" ref="H54:H59" si="1">G54*F54</f>
        <v>4972.76</v>
      </c>
      <c r="I54" s="174"/>
      <c r="J54" s="182"/>
      <c r="K54" s="182"/>
      <c r="L54" s="182"/>
      <c r="M54" s="182"/>
      <c r="N54" s="182"/>
      <c r="O54" s="182"/>
      <c r="T54" s="251"/>
      <c r="U54" s="251"/>
    </row>
    <row r="55" spans="1:21" ht="23.25" x14ac:dyDescent="0.25">
      <c r="A55" s="141" t="s">
        <v>532</v>
      </c>
      <c r="B55" s="15" t="s">
        <v>981</v>
      </c>
      <c r="C55" s="15">
        <v>96544</v>
      </c>
      <c r="D55" s="264" t="s">
        <v>237</v>
      </c>
      <c r="E55" s="11" t="s">
        <v>7</v>
      </c>
      <c r="F55" s="53">
        <v>45.7</v>
      </c>
      <c r="G55" s="13">
        <v>16.98</v>
      </c>
      <c r="H55" s="322">
        <f t="shared" si="1"/>
        <v>775.9860000000001</v>
      </c>
      <c r="I55" s="174"/>
      <c r="J55" s="182"/>
      <c r="K55" s="182"/>
      <c r="L55" s="182"/>
      <c r="M55" s="182"/>
      <c r="N55" s="182"/>
      <c r="O55" s="182"/>
    </row>
    <row r="56" spans="1:21" ht="23.25" x14ac:dyDescent="0.25">
      <c r="A56" s="141" t="s">
        <v>533</v>
      </c>
      <c r="B56" s="15" t="s">
        <v>981</v>
      </c>
      <c r="C56" s="15">
        <v>96545</v>
      </c>
      <c r="D56" s="264" t="s">
        <v>244</v>
      </c>
      <c r="E56" s="11" t="s">
        <v>7</v>
      </c>
      <c r="F56" s="53">
        <v>212.9</v>
      </c>
      <c r="G56" s="13">
        <v>153.31</v>
      </c>
      <c r="H56" s="322">
        <f>G56*F56</f>
        <v>32639.699000000001</v>
      </c>
      <c r="I56" s="174"/>
      <c r="J56" s="182"/>
      <c r="K56" s="182"/>
      <c r="L56" s="182"/>
      <c r="M56" s="182"/>
      <c r="N56" s="182"/>
      <c r="O56" s="182"/>
    </row>
    <row r="57" spans="1:21" ht="23.25" x14ac:dyDescent="0.25">
      <c r="A57" s="141" t="s">
        <v>534</v>
      </c>
      <c r="B57" s="15" t="s">
        <v>981</v>
      </c>
      <c r="C57" s="15">
        <v>96546</v>
      </c>
      <c r="D57" s="264" t="s">
        <v>235</v>
      </c>
      <c r="E57" s="11" t="s">
        <v>7</v>
      </c>
      <c r="F57" s="53">
        <v>496.1</v>
      </c>
      <c r="G57" s="13">
        <v>13.38</v>
      </c>
      <c r="H57" s="322">
        <f t="shared" si="1"/>
        <v>6637.8180000000011</v>
      </c>
      <c r="I57" s="174"/>
      <c r="J57" s="182"/>
      <c r="K57" s="182"/>
      <c r="L57" s="182"/>
      <c r="M57" s="182"/>
      <c r="N57" s="182"/>
      <c r="O57" s="182"/>
    </row>
    <row r="58" spans="1:21" ht="23.25" x14ac:dyDescent="0.25">
      <c r="A58" s="141" t="s">
        <v>535</v>
      </c>
      <c r="B58" s="15" t="s">
        <v>981</v>
      </c>
      <c r="C58" s="15">
        <v>96547</v>
      </c>
      <c r="D58" s="264" t="s">
        <v>238</v>
      </c>
      <c r="E58" s="11" t="s">
        <v>7</v>
      </c>
      <c r="F58" s="53">
        <v>162</v>
      </c>
      <c r="G58" s="13">
        <v>11.17</v>
      </c>
      <c r="H58" s="322">
        <f t="shared" si="1"/>
        <v>1809.54</v>
      </c>
      <c r="I58" s="174"/>
      <c r="J58" s="182"/>
      <c r="K58" s="182"/>
      <c r="L58" s="182"/>
      <c r="M58" s="182"/>
      <c r="N58" s="182"/>
      <c r="O58" s="182"/>
    </row>
    <row r="59" spans="1:21" ht="23.25" x14ac:dyDescent="0.25">
      <c r="A59" s="141" t="s">
        <v>536</v>
      </c>
      <c r="B59" s="15" t="s">
        <v>981</v>
      </c>
      <c r="C59" s="15">
        <v>96548</v>
      </c>
      <c r="D59" s="264" t="s">
        <v>239</v>
      </c>
      <c r="E59" s="11" t="s">
        <v>7</v>
      </c>
      <c r="F59" s="53">
        <v>425.62</v>
      </c>
      <c r="G59" s="13">
        <v>10.3</v>
      </c>
      <c r="H59" s="322">
        <f t="shared" si="1"/>
        <v>4383.8860000000004</v>
      </c>
      <c r="I59" s="174"/>
      <c r="J59" s="182"/>
      <c r="K59" s="182"/>
      <c r="L59" s="182"/>
      <c r="M59" s="182"/>
      <c r="N59" s="182"/>
      <c r="O59" s="182"/>
    </row>
    <row r="60" spans="1:21" ht="23.25" x14ac:dyDescent="0.25">
      <c r="A60" s="141" t="s">
        <v>578</v>
      </c>
      <c r="B60" s="15" t="s">
        <v>981</v>
      </c>
      <c r="C60" s="15">
        <v>98562</v>
      </c>
      <c r="D60" s="264" t="s">
        <v>243</v>
      </c>
      <c r="E60" s="11" t="s">
        <v>6</v>
      </c>
      <c r="F60" s="53">
        <v>618.79999999999995</v>
      </c>
      <c r="G60" s="13">
        <v>44.93</v>
      </c>
      <c r="H60" s="322">
        <f>F60*G60</f>
        <v>27802.683999999997</v>
      </c>
      <c r="I60" s="174"/>
      <c r="J60" s="182"/>
      <c r="K60" s="182"/>
      <c r="L60" s="182"/>
      <c r="M60" s="182"/>
      <c r="N60" s="182"/>
      <c r="O60" s="182"/>
    </row>
    <row r="61" spans="1:21" x14ac:dyDescent="0.25">
      <c r="A61" s="141" t="s">
        <v>579</v>
      </c>
      <c r="B61" s="15" t="s">
        <v>981</v>
      </c>
      <c r="C61" s="15">
        <v>98557</v>
      </c>
      <c r="D61" s="260" t="s">
        <v>44</v>
      </c>
      <c r="E61" s="11" t="s">
        <v>6</v>
      </c>
      <c r="F61" s="53">
        <v>618.79999999999995</v>
      </c>
      <c r="G61" s="13">
        <v>48.3</v>
      </c>
      <c r="H61" s="322">
        <f>G61*F60</f>
        <v>29888.039999999997</v>
      </c>
      <c r="I61" s="174"/>
      <c r="J61" s="182"/>
      <c r="K61" s="182"/>
      <c r="L61" s="182"/>
      <c r="M61" s="182"/>
      <c r="N61" s="182"/>
      <c r="O61" s="182"/>
    </row>
    <row r="62" spans="1:21" x14ac:dyDescent="0.25">
      <c r="A62" s="141" t="s">
        <v>996</v>
      </c>
      <c r="B62" s="15" t="s">
        <v>982</v>
      </c>
      <c r="C62" s="326" t="s">
        <v>1255</v>
      </c>
      <c r="D62" s="120" t="s">
        <v>1256</v>
      </c>
      <c r="E62" s="11" t="s">
        <v>4</v>
      </c>
      <c r="F62" s="53">
        <v>60.77</v>
      </c>
      <c r="G62" s="13">
        <v>171.74</v>
      </c>
      <c r="H62" s="322">
        <f t="shared" ref="H62" si="2">G62*F62</f>
        <v>10436.639800000001</v>
      </c>
      <c r="I62" s="174"/>
      <c r="J62" s="182"/>
      <c r="K62" s="182"/>
      <c r="L62" s="182"/>
      <c r="M62" s="182"/>
      <c r="N62" s="182"/>
      <c r="O62" s="182"/>
    </row>
    <row r="63" spans="1:21" ht="24.95" customHeight="1" x14ac:dyDescent="0.25">
      <c r="A63" s="141" t="s">
        <v>999</v>
      </c>
      <c r="B63" s="15" t="s">
        <v>982</v>
      </c>
      <c r="C63" s="15" t="s">
        <v>1138</v>
      </c>
      <c r="D63" s="47" t="s">
        <v>1137</v>
      </c>
      <c r="E63" s="11" t="s">
        <v>4</v>
      </c>
      <c r="F63" s="53">
        <v>60.77</v>
      </c>
      <c r="G63" s="293">
        <v>538.59</v>
      </c>
      <c r="H63" s="322">
        <f>F63*G63</f>
        <v>32730.114300000005</v>
      </c>
      <c r="I63" s="176"/>
      <c r="J63" s="182"/>
      <c r="K63" s="182"/>
      <c r="L63" s="182"/>
      <c r="M63" s="182"/>
      <c r="N63" s="182"/>
      <c r="O63" s="182"/>
      <c r="R63" s="220"/>
    </row>
    <row r="64" spans="1:21" ht="23.25" x14ac:dyDescent="0.25">
      <c r="A64" s="141" t="s">
        <v>1001</v>
      </c>
      <c r="B64" s="15" t="s">
        <v>981</v>
      </c>
      <c r="C64" s="15">
        <v>103320</v>
      </c>
      <c r="D64" s="264" t="s">
        <v>1000</v>
      </c>
      <c r="E64" s="11" t="s">
        <v>6</v>
      </c>
      <c r="F64" s="53">
        <v>67.73</v>
      </c>
      <c r="G64" s="293">
        <v>121.2</v>
      </c>
      <c r="H64" s="322">
        <f>F64*G64</f>
        <v>8208.8760000000002</v>
      </c>
      <c r="I64" s="174"/>
      <c r="J64" s="182"/>
      <c r="K64" s="182"/>
      <c r="L64" s="182"/>
      <c r="M64" s="182"/>
      <c r="N64" s="182"/>
      <c r="O64" s="182"/>
    </row>
    <row r="65" spans="1:19" x14ac:dyDescent="0.25">
      <c r="A65" s="342" t="s">
        <v>900</v>
      </c>
      <c r="B65" s="343"/>
      <c r="C65" s="343"/>
      <c r="D65" s="343"/>
      <c r="E65" s="343"/>
      <c r="F65" s="343"/>
      <c r="G65" s="343"/>
      <c r="H65" s="438">
        <f>SUM(H50:H64)</f>
        <v>227637.13920000001</v>
      </c>
      <c r="I65" s="174"/>
      <c r="J65" s="182"/>
      <c r="K65" s="182"/>
      <c r="L65" s="182"/>
      <c r="M65" s="182"/>
      <c r="N65" s="182"/>
      <c r="O65" s="182"/>
      <c r="S65" s="221"/>
    </row>
    <row r="66" spans="1:19" x14ac:dyDescent="0.25">
      <c r="A66" s="359" t="s">
        <v>890</v>
      </c>
      <c r="B66" s="360"/>
      <c r="C66" s="360"/>
      <c r="D66" s="361"/>
      <c r="E66" s="361"/>
      <c r="F66" s="361"/>
      <c r="G66" s="361"/>
      <c r="H66" s="437">
        <f>H35+H48+H65</f>
        <v>774041.91399999999</v>
      </c>
      <c r="I66" s="174"/>
      <c r="J66" s="182"/>
      <c r="K66" s="182"/>
      <c r="L66" s="182"/>
      <c r="M66" s="182"/>
      <c r="N66" s="182"/>
      <c r="O66" s="182"/>
      <c r="S66" s="222"/>
    </row>
    <row r="67" spans="1:19" x14ac:dyDescent="0.25">
      <c r="A67" s="141" t="s">
        <v>103</v>
      </c>
      <c r="B67" s="15"/>
      <c r="C67" s="106"/>
      <c r="D67" s="103" t="s">
        <v>9</v>
      </c>
      <c r="E67" s="160"/>
      <c r="F67" s="161"/>
      <c r="G67" s="112"/>
      <c r="H67" s="443"/>
      <c r="I67" s="174"/>
      <c r="J67" s="182"/>
      <c r="K67" s="182"/>
      <c r="L67" s="182"/>
      <c r="M67" s="182"/>
      <c r="N67" s="182"/>
      <c r="O67" s="182"/>
    </row>
    <row r="68" spans="1:19" x14ac:dyDescent="0.25">
      <c r="A68" s="141" t="s">
        <v>104</v>
      </c>
      <c r="B68" s="15"/>
      <c r="C68" s="15"/>
      <c r="D68" s="102" t="s">
        <v>94</v>
      </c>
      <c r="E68" s="270"/>
      <c r="F68" s="134"/>
      <c r="G68" s="111"/>
      <c r="H68" s="323"/>
      <c r="I68" s="174"/>
      <c r="J68" s="182"/>
      <c r="K68" s="182"/>
      <c r="L68" s="182"/>
      <c r="M68" s="182"/>
      <c r="N68" s="182"/>
      <c r="O68" s="182"/>
    </row>
    <row r="69" spans="1:19" ht="23.25" x14ac:dyDescent="0.25">
      <c r="A69" s="141" t="s">
        <v>105</v>
      </c>
      <c r="B69" s="15" t="s">
        <v>981</v>
      </c>
      <c r="C69" s="15">
        <v>92417</v>
      </c>
      <c r="D69" s="143" t="s">
        <v>254</v>
      </c>
      <c r="E69" s="11" t="s">
        <v>6</v>
      </c>
      <c r="F69" s="285">
        <v>178.8</v>
      </c>
      <c r="G69" s="293">
        <v>166.08</v>
      </c>
      <c r="H69" s="322">
        <f t="shared" ref="H69:H76" si="3">G69*F69</f>
        <v>29695.104000000003</v>
      </c>
      <c r="I69" s="174"/>
      <c r="J69" s="182"/>
      <c r="K69" s="182"/>
      <c r="L69" s="182"/>
      <c r="M69" s="182"/>
      <c r="N69" s="182"/>
      <c r="O69" s="182"/>
    </row>
    <row r="70" spans="1:19" ht="23.25" x14ac:dyDescent="0.25">
      <c r="A70" s="141" t="s">
        <v>106</v>
      </c>
      <c r="B70" s="15" t="s">
        <v>981</v>
      </c>
      <c r="C70" s="15">
        <v>92759</v>
      </c>
      <c r="D70" s="264" t="s">
        <v>248</v>
      </c>
      <c r="E70" s="11" t="s">
        <v>7</v>
      </c>
      <c r="F70" s="53">
        <v>1320.5</v>
      </c>
      <c r="G70" s="13">
        <v>14.79</v>
      </c>
      <c r="H70" s="322">
        <f t="shared" si="3"/>
        <v>19530.195</v>
      </c>
      <c r="I70" s="174"/>
      <c r="J70" s="182"/>
      <c r="K70" s="182"/>
      <c r="L70" s="182"/>
      <c r="M70" s="182"/>
      <c r="N70" s="182"/>
      <c r="O70" s="182"/>
    </row>
    <row r="71" spans="1:19" ht="23.25" x14ac:dyDescent="0.25">
      <c r="A71" s="141" t="s">
        <v>107</v>
      </c>
      <c r="B71" s="15" t="s">
        <v>981</v>
      </c>
      <c r="C71" s="15">
        <v>92761</v>
      </c>
      <c r="D71" s="264" t="s">
        <v>250</v>
      </c>
      <c r="E71" s="11" t="s">
        <v>7</v>
      </c>
      <c r="F71" s="53">
        <v>212.9</v>
      </c>
      <c r="G71" s="13">
        <v>12.68</v>
      </c>
      <c r="H71" s="322">
        <f t="shared" si="3"/>
        <v>2699.5720000000001</v>
      </c>
      <c r="I71" s="174"/>
      <c r="J71" s="182"/>
      <c r="K71" s="182"/>
      <c r="L71" s="182"/>
      <c r="M71" s="182"/>
      <c r="N71" s="182"/>
      <c r="O71" s="182"/>
    </row>
    <row r="72" spans="1:19" ht="23.25" x14ac:dyDescent="0.25">
      <c r="A72" s="141" t="s">
        <v>108</v>
      </c>
      <c r="B72" s="15" t="s">
        <v>981</v>
      </c>
      <c r="C72" s="15">
        <v>92762</v>
      </c>
      <c r="D72" s="264" t="s">
        <v>251</v>
      </c>
      <c r="E72" s="11" t="s">
        <v>7</v>
      </c>
      <c r="F72" s="53">
        <v>1072.0999999999999</v>
      </c>
      <c r="G72" s="13">
        <v>11.2</v>
      </c>
      <c r="H72" s="322">
        <f t="shared" si="3"/>
        <v>12007.519999999999</v>
      </c>
      <c r="I72" s="174"/>
      <c r="J72" s="182"/>
      <c r="K72" s="182"/>
      <c r="L72" s="182"/>
      <c r="M72" s="182"/>
      <c r="N72" s="182"/>
      <c r="O72" s="182"/>
    </row>
    <row r="73" spans="1:19" ht="23.25" x14ac:dyDescent="0.25">
      <c r="A73" s="141" t="s">
        <v>109</v>
      </c>
      <c r="B73" s="15" t="s">
        <v>981</v>
      </c>
      <c r="C73" s="15">
        <v>92763</v>
      </c>
      <c r="D73" s="264" t="s">
        <v>252</v>
      </c>
      <c r="E73" s="11" t="s">
        <v>7</v>
      </c>
      <c r="F73" s="53">
        <v>2283.8000000000002</v>
      </c>
      <c r="G73" s="13">
        <v>9.3699999999999992</v>
      </c>
      <c r="H73" s="322">
        <f t="shared" si="3"/>
        <v>21399.205999999998</v>
      </c>
      <c r="I73" s="174"/>
      <c r="J73" s="182"/>
      <c r="K73" s="182"/>
      <c r="L73" s="182"/>
      <c r="M73" s="182"/>
      <c r="N73" s="182"/>
      <c r="O73" s="182"/>
    </row>
    <row r="74" spans="1:19" ht="23.25" x14ac:dyDescent="0.25">
      <c r="A74" s="141" t="s">
        <v>110</v>
      </c>
      <c r="B74" s="15" t="s">
        <v>981</v>
      </c>
      <c r="C74" s="15">
        <v>92764</v>
      </c>
      <c r="D74" s="264" t="s">
        <v>253</v>
      </c>
      <c r="E74" s="11" t="s">
        <v>7</v>
      </c>
      <c r="F74" s="53">
        <v>704.2</v>
      </c>
      <c r="G74" s="13">
        <v>9.01</v>
      </c>
      <c r="H74" s="322">
        <f t="shared" si="3"/>
        <v>6344.8420000000006</v>
      </c>
      <c r="I74" s="174"/>
      <c r="J74" s="182"/>
      <c r="K74" s="182"/>
      <c r="L74" s="182"/>
      <c r="M74" s="182"/>
      <c r="N74" s="182"/>
      <c r="O74" s="182"/>
    </row>
    <row r="75" spans="1:19" x14ac:dyDescent="0.25">
      <c r="A75" s="141" t="s">
        <v>111</v>
      </c>
      <c r="B75" s="15" t="s">
        <v>982</v>
      </c>
      <c r="C75" s="171" t="s">
        <v>1258</v>
      </c>
      <c r="D75" s="327" t="s">
        <v>1257</v>
      </c>
      <c r="E75" s="11" t="s">
        <v>4</v>
      </c>
      <c r="F75" s="53">
        <v>60.42</v>
      </c>
      <c r="G75" s="13">
        <v>118.63</v>
      </c>
      <c r="H75" s="322">
        <f t="shared" si="3"/>
        <v>7167.6246000000001</v>
      </c>
      <c r="I75" s="174"/>
      <c r="J75" s="182"/>
      <c r="K75" s="182"/>
      <c r="L75" s="182"/>
      <c r="M75" s="182"/>
      <c r="N75" s="182"/>
      <c r="O75" s="182"/>
    </row>
    <row r="76" spans="1:19" x14ac:dyDescent="0.25">
      <c r="A76" s="141" t="s">
        <v>1259</v>
      </c>
      <c r="B76" s="15" t="s">
        <v>982</v>
      </c>
      <c r="C76" s="15" t="s">
        <v>1138</v>
      </c>
      <c r="D76" s="264" t="s">
        <v>1137</v>
      </c>
      <c r="E76" s="11" t="s">
        <v>4</v>
      </c>
      <c r="F76" s="285">
        <v>60.42</v>
      </c>
      <c r="G76" s="293">
        <v>538.59</v>
      </c>
      <c r="H76" s="322">
        <f t="shared" si="3"/>
        <v>32541.607800000002</v>
      </c>
      <c r="I76" s="176"/>
      <c r="J76" s="182"/>
      <c r="K76" s="182"/>
      <c r="L76" s="182"/>
      <c r="M76" s="182"/>
      <c r="N76" s="182"/>
      <c r="O76" s="182"/>
      <c r="R76" s="220"/>
    </row>
    <row r="77" spans="1:19" ht="15" customHeight="1" x14ac:dyDescent="0.25">
      <c r="A77" s="342" t="s">
        <v>901</v>
      </c>
      <c r="B77" s="343"/>
      <c r="C77" s="343"/>
      <c r="D77" s="347"/>
      <c r="E77" s="347"/>
      <c r="F77" s="347"/>
      <c r="G77" s="347"/>
      <c r="H77" s="444">
        <f>SUM(H69:H76)</f>
        <v>131385.67139999999</v>
      </c>
      <c r="I77" s="174"/>
      <c r="J77" s="182"/>
      <c r="K77" s="182"/>
      <c r="L77" s="182"/>
      <c r="M77" s="182"/>
      <c r="N77" s="182"/>
      <c r="O77" s="182"/>
      <c r="S77" s="221"/>
    </row>
    <row r="78" spans="1:19" x14ac:dyDescent="0.25">
      <c r="A78" s="141" t="s">
        <v>580</v>
      </c>
      <c r="B78" s="11"/>
      <c r="C78" s="306"/>
      <c r="D78" s="95" t="s">
        <v>46</v>
      </c>
      <c r="E78" s="272"/>
      <c r="F78" s="161"/>
      <c r="G78" s="294"/>
      <c r="H78" s="443"/>
      <c r="I78" s="174"/>
      <c r="J78" s="182"/>
      <c r="K78" s="182"/>
      <c r="L78" s="182"/>
      <c r="M78" s="182"/>
      <c r="N78" s="182"/>
      <c r="O78" s="182"/>
    </row>
    <row r="79" spans="1:19" ht="23.25" x14ac:dyDescent="0.25">
      <c r="A79" s="141" t="s">
        <v>581</v>
      </c>
      <c r="B79" s="15" t="s">
        <v>981</v>
      </c>
      <c r="C79" s="15">
        <v>92453</v>
      </c>
      <c r="D79" s="104" t="s">
        <v>255</v>
      </c>
      <c r="E79" s="93" t="s">
        <v>6</v>
      </c>
      <c r="F79" s="134">
        <v>443.96</v>
      </c>
      <c r="G79" s="295">
        <v>235.24</v>
      </c>
      <c r="H79" s="323">
        <f>G79*F79</f>
        <v>104437.1504</v>
      </c>
      <c r="I79" s="174"/>
      <c r="J79" s="182"/>
      <c r="K79" s="182"/>
      <c r="L79" s="182"/>
      <c r="M79" s="182"/>
      <c r="N79" s="182"/>
      <c r="O79" s="182"/>
    </row>
    <row r="80" spans="1:19" ht="23.25" x14ac:dyDescent="0.25">
      <c r="A80" s="141" t="s">
        <v>582</v>
      </c>
      <c r="B80" s="15" t="s">
        <v>981</v>
      </c>
      <c r="C80" s="15">
        <v>92759</v>
      </c>
      <c r="D80" s="264" t="s">
        <v>248</v>
      </c>
      <c r="E80" s="11" t="s">
        <v>7</v>
      </c>
      <c r="F80" s="53">
        <v>723.8</v>
      </c>
      <c r="G80" s="293">
        <v>14.79</v>
      </c>
      <c r="H80" s="322">
        <f>G80*F80</f>
        <v>10705.001999999999</v>
      </c>
      <c r="I80" s="174"/>
      <c r="J80" s="182"/>
      <c r="K80" s="182"/>
      <c r="L80" s="182"/>
      <c r="M80" s="182"/>
      <c r="N80" s="182"/>
      <c r="O80" s="182"/>
    </row>
    <row r="81" spans="1:19" ht="23.25" x14ac:dyDescent="0.25">
      <c r="A81" s="141" t="s">
        <v>583</v>
      </c>
      <c r="B81" s="15" t="s">
        <v>981</v>
      </c>
      <c r="C81" s="15">
        <v>92760</v>
      </c>
      <c r="D81" s="264" t="s">
        <v>249</v>
      </c>
      <c r="E81" s="11" t="s">
        <v>7</v>
      </c>
      <c r="F81" s="53">
        <v>574.1</v>
      </c>
      <c r="G81" s="13">
        <v>13.68</v>
      </c>
      <c r="H81" s="322">
        <f>G81*F81</f>
        <v>7853.6880000000001</v>
      </c>
      <c r="I81" s="174"/>
      <c r="J81" s="182"/>
      <c r="K81" s="182"/>
      <c r="L81" s="182"/>
      <c r="M81" s="182"/>
      <c r="N81" s="182"/>
      <c r="O81" s="182"/>
    </row>
    <row r="82" spans="1:19" ht="23.25" x14ac:dyDescent="0.25">
      <c r="A82" s="141" t="s">
        <v>584</v>
      </c>
      <c r="B82" s="15" t="s">
        <v>981</v>
      </c>
      <c r="C82" s="15">
        <v>92761</v>
      </c>
      <c r="D82" s="264" t="s">
        <v>250</v>
      </c>
      <c r="E82" s="11" t="s">
        <v>7</v>
      </c>
      <c r="F82" s="53">
        <v>1001.9</v>
      </c>
      <c r="G82" s="13">
        <v>12.68</v>
      </c>
      <c r="H82" s="322">
        <f>F82*G82</f>
        <v>12704.091999999999</v>
      </c>
      <c r="I82" s="174"/>
      <c r="J82" s="182"/>
      <c r="K82" s="182"/>
      <c r="L82" s="182"/>
      <c r="M82" s="182"/>
      <c r="N82" s="182"/>
      <c r="O82" s="182"/>
    </row>
    <row r="83" spans="1:19" ht="23.25" x14ac:dyDescent="0.25">
      <c r="A83" s="141" t="s">
        <v>585</v>
      </c>
      <c r="B83" s="15" t="s">
        <v>981</v>
      </c>
      <c r="C83" s="15">
        <v>92762</v>
      </c>
      <c r="D83" s="264" t="s">
        <v>251</v>
      </c>
      <c r="E83" s="11" t="s">
        <v>7</v>
      </c>
      <c r="F83" s="53">
        <v>1637.8</v>
      </c>
      <c r="G83" s="13">
        <v>11.2</v>
      </c>
      <c r="H83" s="322">
        <f>G83*F83</f>
        <v>18343.359999999997</v>
      </c>
      <c r="I83" s="174"/>
      <c r="J83" s="182"/>
      <c r="K83" s="182"/>
      <c r="L83" s="182"/>
      <c r="M83" s="182"/>
      <c r="N83" s="182"/>
      <c r="O83" s="182"/>
    </row>
    <row r="84" spans="1:19" ht="23.25" x14ac:dyDescent="0.25">
      <c r="A84" s="141" t="s">
        <v>586</v>
      </c>
      <c r="B84" s="15" t="s">
        <v>981</v>
      </c>
      <c r="C84" s="15">
        <v>92763</v>
      </c>
      <c r="D84" s="264" t="s">
        <v>252</v>
      </c>
      <c r="E84" s="11" t="s">
        <v>7</v>
      </c>
      <c r="F84" s="53">
        <v>1243.5999999999999</v>
      </c>
      <c r="G84" s="13">
        <v>9.3699999999999992</v>
      </c>
      <c r="H84" s="322">
        <f>G84*F84</f>
        <v>11652.531999999997</v>
      </c>
      <c r="I84" s="174"/>
      <c r="J84" s="182"/>
      <c r="K84" s="182"/>
      <c r="L84" s="182"/>
      <c r="M84" s="182"/>
      <c r="N84" s="182"/>
      <c r="O84" s="182"/>
    </row>
    <row r="85" spans="1:19" ht="23.25" x14ac:dyDescent="0.25">
      <c r="A85" s="141" t="s">
        <v>587</v>
      </c>
      <c r="B85" s="15" t="s">
        <v>981</v>
      </c>
      <c r="C85" s="15">
        <v>92764</v>
      </c>
      <c r="D85" s="264" t="s">
        <v>253</v>
      </c>
      <c r="E85" s="11" t="s">
        <v>7</v>
      </c>
      <c r="F85" s="53">
        <v>704.2</v>
      </c>
      <c r="G85" s="13">
        <v>9.01</v>
      </c>
      <c r="H85" s="322">
        <f>G85*F85</f>
        <v>6344.8420000000006</v>
      </c>
      <c r="I85" s="174"/>
      <c r="J85" s="182"/>
      <c r="K85" s="182"/>
      <c r="L85" s="182"/>
      <c r="M85" s="182"/>
      <c r="N85" s="182"/>
      <c r="O85" s="182"/>
    </row>
    <row r="86" spans="1:19" x14ac:dyDescent="0.25">
      <c r="A86" s="141" t="s">
        <v>588</v>
      </c>
      <c r="B86" s="15" t="s">
        <v>982</v>
      </c>
      <c r="C86" s="171" t="s">
        <v>1258</v>
      </c>
      <c r="D86" s="327" t="s">
        <v>1257</v>
      </c>
      <c r="E86" s="11" t="s">
        <v>4</v>
      </c>
      <c r="F86" s="53">
        <v>68.98</v>
      </c>
      <c r="G86" s="13">
        <v>118.63</v>
      </c>
      <c r="H86" s="322">
        <f>G86*F86</f>
        <v>8183.0974000000006</v>
      </c>
      <c r="I86" s="174"/>
      <c r="J86" s="182"/>
      <c r="K86" s="182"/>
      <c r="L86" s="182"/>
      <c r="M86" s="182"/>
      <c r="N86" s="182"/>
      <c r="O86" s="182"/>
    </row>
    <row r="87" spans="1:19" x14ac:dyDescent="0.25">
      <c r="A87" s="141" t="s">
        <v>1260</v>
      </c>
      <c r="B87" s="15" t="s">
        <v>982</v>
      </c>
      <c r="C87" s="15" t="s">
        <v>1138</v>
      </c>
      <c r="D87" s="264" t="s">
        <v>1137</v>
      </c>
      <c r="E87" s="11" t="s">
        <v>4</v>
      </c>
      <c r="F87" s="53">
        <v>68.98</v>
      </c>
      <c r="G87" s="293">
        <v>538.59</v>
      </c>
      <c r="H87" s="322">
        <f>G87*F87</f>
        <v>37151.938200000004</v>
      </c>
      <c r="I87" s="176"/>
      <c r="J87" s="182"/>
      <c r="K87" s="182"/>
      <c r="L87" s="182"/>
      <c r="M87" s="182"/>
      <c r="N87" s="182"/>
      <c r="O87" s="182"/>
      <c r="R87" s="220"/>
    </row>
    <row r="88" spans="1:19" x14ac:dyDescent="0.25">
      <c r="A88" s="342" t="s">
        <v>902</v>
      </c>
      <c r="B88" s="343"/>
      <c r="C88" s="343"/>
      <c r="D88" s="347"/>
      <c r="E88" s="347"/>
      <c r="F88" s="347"/>
      <c r="G88" s="347"/>
      <c r="H88" s="444">
        <f>SUM(H79:H87)</f>
        <v>217375.70199999999</v>
      </c>
      <c r="I88" s="174"/>
      <c r="J88" s="182"/>
      <c r="K88" s="182"/>
      <c r="L88" s="182"/>
      <c r="M88" s="182"/>
      <c r="N88" s="182"/>
      <c r="O88" s="182"/>
      <c r="S88" s="221"/>
    </row>
    <row r="89" spans="1:19" x14ac:dyDescent="0.25">
      <c r="A89" s="314" t="s">
        <v>589</v>
      </c>
      <c r="B89" s="15"/>
      <c r="C89" s="106"/>
      <c r="D89" s="95" t="s">
        <v>82</v>
      </c>
      <c r="E89" s="273"/>
      <c r="F89" s="282"/>
      <c r="G89" s="296"/>
      <c r="H89" s="439"/>
      <c r="I89" s="174"/>
      <c r="J89" s="182"/>
      <c r="K89" s="182"/>
      <c r="L89" s="182"/>
      <c r="M89" s="182"/>
      <c r="N89" s="182"/>
      <c r="O89" s="182"/>
    </row>
    <row r="90" spans="1:19" ht="23.25" x14ac:dyDescent="0.25">
      <c r="A90" s="314" t="s">
        <v>590</v>
      </c>
      <c r="B90" s="15" t="s">
        <v>1002</v>
      </c>
      <c r="C90" s="151" t="s">
        <v>1242</v>
      </c>
      <c r="D90" s="104" t="s">
        <v>262</v>
      </c>
      <c r="E90" s="93" t="s">
        <v>6</v>
      </c>
      <c r="F90" s="134">
        <v>3470.52</v>
      </c>
      <c r="G90" s="297">
        <v>359.77</v>
      </c>
      <c r="H90" s="323">
        <f t="shared" ref="H90:H97" si="4">G90*F90</f>
        <v>1248588.9804</v>
      </c>
      <c r="I90" s="174"/>
      <c r="J90" s="200"/>
      <c r="K90" s="228"/>
      <c r="L90" s="229"/>
      <c r="M90" s="230"/>
      <c r="N90" s="230"/>
      <c r="O90" s="182"/>
    </row>
    <row r="91" spans="1:19" x14ac:dyDescent="0.25">
      <c r="A91" s="314" t="s">
        <v>591</v>
      </c>
      <c r="B91" s="15" t="s">
        <v>982</v>
      </c>
      <c r="C91" s="172" t="s">
        <v>1249</v>
      </c>
      <c r="D91" s="169" t="s">
        <v>1250</v>
      </c>
      <c r="E91" s="11" t="s">
        <v>7</v>
      </c>
      <c r="F91" s="134">
        <v>10793.32</v>
      </c>
      <c r="G91" s="297">
        <v>14.15</v>
      </c>
      <c r="H91" s="323">
        <f t="shared" si="4"/>
        <v>152725.478</v>
      </c>
      <c r="I91" s="174"/>
      <c r="J91" s="200"/>
      <c r="K91" s="228"/>
      <c r="L91" s="229"/>
      <c r="M91" s="230"/>
      <c r="N91" s="230"/>
      <c r="O91" s="182"/>
    </row>
    <row r="92" spans="1:19" ht="24.95" customHeight="1" x14ac:dyDescent="0.25">
      <c r="A92" s="314" t="s">
        <v>592</v>
      </c>
      <c r="B92" s="15" t="s">
        <v>982</v>
      </c>
      <c r="C92" s="172" t="s">
        <v>1266</v>
      </c>
      <c r="D92" s="267" t="s">
        <v>1267</v>
      </c>
      <c r="E92" s="93" t="s">
        <v>6</v>
      </c>
      <c r="F92" s="134">
        <v>217.98</v>
      </c>
      <c r="G92" s="298">
        <v>165.19</v>
      </c>
      <c r="H92" s="323">
        <f t="shared" si="4"/>
        <v>36008.116199999997</v>
      </c>
      <c r="I92" s="174"/>
      <c r="J92" s="200"/>
      <c r="K92" s="228"/>
      <c r="L92" s="229"/>
      <c r="M92" s="230"/>
      <c r="N92" s="230"/>
      <c r="O92" s="182"/>
    </row>
    <row r="93" spans="1:19" ht="20.100000000000001" customHeight="1" x14ac:dyDescent="0.25">
      <c r="A93" s="314" t="s">
        <v>593</v>
      </c>
      <c r="B93" s="15" t="s">
        <v>982</v>
      </c>
      <c r="C93" s="172" t="s">
        <v>1270</v>
      </c>
      <c r="D93" s="454" t="s">
        <v>1271</v>
      </c>
      <c r="E93" s="93" t="s">
        <v>4</v>
      </c>
      <c r="F93" s="134">
        <v>11289.04</v>
      </c>
      <c r="G93" s="328">
        <v>9.0399999999999991</v>
      </c>
      <c r="H93" s="323">
        <f t="shared" si="4"/>
        <v>102052.9216</v>
      </c>
      <c r="I93" s="174"/>
      <c r="J93" s="200"/>
      <c r="K93" s="228"/>
      <c r="L93" s="229"/>
      <c r="M93" s="230"/>
      <c r="N93" s="230"/>
      <c r="O93" s="182"/>
    </row>
    <row r="94" spans="1:19" ht="23.25" x14ac:dyDescent="0.25">
      <c r="A94" s="314" t="s">
        <v>594</v>
      </c>
      <c r="B94" s="15" t="s">
        <v>981</v>
      </c>
      <c r="C94" s="15">
        <v>93287</v>
      </c>
      <c r="D94" s="7" t="s">
        <v>544</v>
      </c>
      <c r="E94" s="274" t="s">
        <v>545</v>
      </c>
      <c r="F94" s="53">
        <v>300</v>
      </c>
      <c r="G94" s="293">
        <v>320.08</v>
      </c>
      <c r="H94" s="322">
        <f t="shared" si="4"/>
        <v>96024</v>
      </c>
      <c r="I94" s="174"/>
      <c r="J94" s="182"/>
      <c r="K94" s="182"/>
      <c r="L94" s="182"/>
      <c r="M94" s="182"/>
      <c r="N94" s="182"/>
      <c r="O94" s="182"/>
    </row>
    <row r="95" spans="1:19" ht="23.25" x14ac:dyDescent="0.25">
      <c r="A95" s="314" t="s">
        <v>595</v>
      </c>
      <c r="B95" s="15" t="s">
        <v>981</v>
      </c>
      <c r="C95" s="15">
        <v>92484</v>
      </c>
      <c r="D95" s="7" t="s">
        <v>256</v>
      </c>
      <c r="E95" s="11" t="s">
        <v>6</v>
      </c>
      <c r="F95" s="53">
        <v>156.61000000000001</v>
      </c>
      <c r="G95" s="293">
        <v>261.35000000000002</v>
      </c>
      <c r="H95" s="322">
        <f t="shared" si="4"/>
        <v>40930.02350000001</v>
      </c>
      <c r="I95" s="174"/>
      <c r="J95" s="182"/>
      <c r="K95" s="182"/>
      <c r="L95" s="182"/>
      <c r="M95" s="182"/>
      <c r="N95" s="182"/>
      <c r="O95" s="182"/>
    </row>
    <row r="96" spans="1:19" ht="23.25" x14ac:dyDescent="0.25">
      <c r="A96" s="314" t="s">
        <v>596</v>
      </c>
      <c r="B96" s="15" t="s">
        <v>981</v>
      </c>
      <c r="C96" s="15">
        <v>92768</v>
      </c>
      <c r="D96" s="264" t="s">
        <v>257</v>
      </c>
      <c r="E96" s="11" t="s">
        <v>7</v>
      </c>
      <c r="F96" s="53">
        <v>62.2</v>
      </c>
      <c r="G96" s="293">
        <v>14.16</v>
      </c>
      <c r="H96" s="322">
        <f t="shared" si="4"/>
        <v>880.75200000000007</v>
      </c>
      <c r="I96" s="174"/>
      <c r="J96" s="182"/>
      <c r="K96" s="182"/>
      <c r="L96" s="182"/>
      <c r="M96" s="182"/>
      <c r="N96" s="182"/>
      <c r="O96" s="182"/>
    </row>
    <row r="97" spans="1:22" ht="23.25" x14ac:dyDescent="0.25">
      <c r="A97" s="314" t="s">
        <v>597</v>
      </c>
      <c r="B97" s="15" t="s">
        <v>981</v>
      </c>
      <c r="C97" s="15">
        <v>92769</v>
      </c>
      <c r="D97" s="264" t="s">
        <v>258</v>
      </c>
      <c r="E97" s="11" t="s">
        <v>7</v>
      </c>
      <c r="F97" s="53">
        <v>334.9</v>
      </c>
      <c r="G97" s="13">
        <v>13.07</v>
      </c>
      <c r="H97" s="322">
        <f t="shared" si="4"/>
        <v>4377.143</v>
      </c>
      <c r="I97" s="174"/>
      <c r="J97" s="182"/>
      <c r="K97" s="182"/>
      <c r="L97" s="182"/>
      <c r="M97" s="182"/>
      <c r="N97" s="182"/>
      <c r="O97" s="182"/>
    </row>
    <row r="98" spans="1:22" ht="23.25" x14ac:dyDescent="0.25">
      <c r="A98" s="314" t="s">
        <v>598</v>
      </c>
      <c r="B98" s="15" t="s">
        <v>981</v>
      </c>
      <c r="C98" s="15">
        <v>92770</v>
      </c>
      <c r="D98" s="264" t="s">
        <v>259</v>
      </c>
      <c r="E98" s="11" t="s">
        <v>7</v>
      </c>
      <c r="F98" s="53">
        <v>235</v>
      </c>
      <c r="G98" s="13">
        <v>12.1</v>
      </c>
      <c r="H98" s="322">
        <f>F98*G98</f>
        <v>2843.5</v>
      </c>
      <c r="I98" s="174"/>
      <c r="J98" s="182"/>
      <c r="K98" s="182"/>
      <c r="L98" s="182"/>
      <c r="M98" s="182"/>
      <c r="N98" s="182"/>
      <c r="O98" s="182"/>
    </row>
    <row r="99" spans="1:22" ht="23.25" x14ac:dyDescent="0.25">
      <c r="A99" s="314" t="s">
        <v>599</v>
      </c>
      <c r="B99" s="15" t="s">
        <v>981</v>
      </c>
      <c r="C99" s="15">
        <v>92771</v>
      </c>
      <c r="D99" s="264" t="s">
        <v>260</v>
      </c>
      <c r="E99" s="11" t="s">
        <v>7</v>
      </c>
      <c r="F99" s="53">
        <v>92.4</v>
      </c>
      <c r="G99" s="13">
        <v>10.68</v>
      </c>
      <c r="H99" s="322">
        <f t="shared" ref="H99:H104" si="5">G99*F99</f>
        <v>986.83199999999999</v>
      </c>
      <c r="I99" s="174"/>
      <c r="J99" s="182"/>
      <c r="K99" s="182"/>
      <c r="L99" s="182"/>
      <c r="M99" s="182"/>
      <c r="N99" s="182"/>
      <c r="O99" s="182"/>
    </row>
    <row r="100" spans="1:22" ht="23.25" x14ac:dyDescent="0.25">
      <c r="A100" s="314" t="s">
        <v>1132</v>
      </c>
      <c r="B100" s="15" t="s">
        <v>981</v>
      </c>
      <c r="C100" s="15">
        <v>92772</v>
      </c>
      <c r="D100" s="264" t="s">
        <v>261</v>
      </c>
      <c r="E100" s="11" t="s">
        <v>7</v>
      </c>
      <c r="F100" s="53">
        <v>85.3</v>
      </c>
      <c r="G100" s="13">
        <v>8.92</v>
      </c>
      <c r="H100" s="322">
        <f t="shared" si="5"/>
        <v>760.87599999999998</v>
      </c>
      <c r="I100" s="174"/>
      <c r="J100" s="182"/>
      <c r="K100" s="182"/>
      <c r="L100" s="182"/>
      <c r="M100" s="182"/>
      <c r="N100" s="182"/>
      <c r="O100" s="182"/>
    </row>
    <row r="101" spans="1:22" x14ac:dyDescent="0.25">
      <c r="A101" s="314" t="s">
        <v>1261</v>
      </c>
      <c r="B101" s="15" t="s">
        <v>982</v>
      </c>
      <c r="C101" s="171" t="s">
        <v>1262</v>
      </c>
      <c r="D101" s="327" t="s">
        <v>1263</v>
      </c>
      <c r="E101" s="11" t="s">
        <v>4</v>
      </c>
      <c r="F101" s="53">
        <v>55.08</v>
      </c>
      <c r="G101" s="13">
        <v>116.51</v>
      </c>
      <c r="H101" s="322">
        <f t="shared" si="5"/>
        <v>6417.3707999999997</v>
      </c>
      <c r="I101" s="174"/>
      <c r="J101" s="182"/>
      <c r="K101" s="182"/>
      <c r="L101" s="182"/>
      <c r="M101" s="182"/>
      <c r="N101" s="182"/>
      <c r="O101" s="182"/>
    </row>
    <row r="102" spans="1:22" x14ac:dyDescent="0.25">
      <c r="A102" s="314" t="s">
        <v>1264</v>
      </c>
      <c r="B102" s="15" t="s">
        <v>982</v>
      </c>
      <c r="C102" s="15" t="s">
        <v>1138</v>
      </c>
      <c r="D102" s="264" t="s">
        <v>1137</v>
      </c>
      <c r="E102" s="11" t="s">
        <v>4</v>
      </c>
      <c r="F102" s="53">
        <v>55.08</v>
      </c>
      <c r="G102" s="293">
        <v>538.59</v>
      </c>
      <c r="H102" s="322">
        <f t="shared" si="5"/>
        <v>29665.537200000002</v>
      </c>
      <c r="I102" s="176"/>
      <c r="J102" s="182"/>
      <c r="K102" s="182"/>
      <c r="L102" s="182"/>
      <c r="M102" s="182"/>
      <c r="N102" s="182"/>
      <c r="O102" s="182"/>
      <c r="R102" s="220"/>
    </row>
    <row r="103" spans="1:22" ht="23.25" x14ac:dyDescent="0.25">
      <c r="A103" s="314" t="s">
        <v>1265</v>
      </c>
      <c r="B103" s="15" t="s">
        <v>981</v>
      </c>
      <c r="C103" s="15">
        <v>96114</v>
      </c>
      <c r="D103" s="7" t="s">
        <v>537</v>
      </c>
      <c r="E103" s="11" t="s">
        <v>6</v>
      </c>
      <c r="F103" s="53">
        <v>2081.37</v>
      </c>
      <c r="G103" s="293">
        <v>70.22</v>
      </c>
      <c r="H103" s="322">
        <f t="shared" si="5"/>
        <v>146153.8014</v>
      </c>
      <c r="I103" s="174"/>
      <c r="J103" s="182"/>
      <c r="K103" s="182"/>
      <c r="L103" s="182"/>
      <c r="M103" s="182"/>
      <c r="N103" s="182"/>
      <c r="O103" s="182"/>
    </row>
    <row r="104" spans="1:22" ht="23.25" x14ac:dyDescent="0.25">
      <c r="A104" s="314" t="s">
        <v>1269</v>
      </c>
      <c r="B104" s="151" t="s">
        <v>982</v>
      </c>
      <c r="C104" s="15" t="s">
        <v>1134</v>
      </c>
      <c r="D104" s="7" t="s">
        <v>1133</v>
      </c>
      <c r="E104" s="11" t="s">
        <v>6</v>
      </c>
      <c r="F104" s="53">
        <v>186.96</v>
      </c>
      <c r="G104" s="293">
        <v>100.34</v>
      </c>
      <c r="H104" s="322">
        <f t="shared" si="5"/>
        <v>18759.5664</v>
      </c>
      <c r="I104" s="179"/>
      <c r="J104" s="182"/>
      <c r="K104" s="182"/>
      <c r="L104" s="182"/>
      <c r="M104" s="182"/>
      <c r="N104" s="182"/>
      <c r="O104" s="182"/>
      <c r="R104" s="220"/>
    </row>
    <row r="105" spans="1:22" x14ac:dyDescent="0.25">
      <c r="A105" s="342" t="s">
        <v>903</v>
      </c>
      <c r="B105" s="343"/>
      <c r="C105" s="343"/>
      <c r="D105" s="343"/>
      <c r="E105" s="343"/>
      <c r="F105" s="343"/>
      <c r="G105" s="343"/>
      <c r="H105" s="438">
        <f>SUM(H90:H104)</f>
        <v>1887174.8984999997</v>
      </c>
      <c r="I105" s="174"/>
      <c r="J105" s="182"/>
      <c r="K105" s="182"/>
      <c r="L105" s="182"/>
      <c r="M105" s="182"/>
      <c r="N105" s="182"/>
      <c r="O105" s="182"/>
      <c r="S105" s="221"/>
    </row>
    <row r="106" spans="1:22" x14ac:dyDescent="0.25">
      <c r="A106" s="359" t="s">
        <v>938</v>
      </c>
      <c r="B106" s="360"/>
      <c r="C106" s="360"/>
      <c r="D106" s="361"/>
      <c r="E106" s="361"/>
      <c r="F106" s="361"/>
      <c r="G106" s="361"/>
      <c r="H106" s="437">
        <f>H77+H88+H105</f>
        <v>2235936.2718999996</v>
      </c>
      <c r="I106" s="174"/>
      <c r="J106" s="182"/>
      <c r="K106" s="182"/>
      <c r="L106" s="182"/>
      <c r="M106" s="182"/>
      <c r="N106" s="182"/>
      <c r="O106" s="182"/>
      <c r="S106" s="222"/>
    </row>
    <row r="107" spans="1:22" x14ac:dyDescent="0.25">
      <c r="A107" s="141" t="s">
        <v>112</v>
      </c>
      <c r="B107" s="15"/>
      <c r="C107" s="106"/>
      <c r="D107" s="103" t="s">
        <v>950</v>
      </c>
      <c r="E107" s="160"/>
      <c r="F107" s="161"/>
      <c r="G107" s="112"/>
      <c r="H107" s="443"/>
      <c r="I107" s="174"/>
      <c r="J107" s="182"/>
      <c r="K107" s="182"/>
      <c r="L107" s="182"/>
      <c r="M107" s="182"/>
      <c r="N107" s="182"/>
      <c r="O107" s="182"/>
    </row>
    <row r="108" spans="1:22" x14ac:dyDescent="0.25">
      <c r="A108" s="141" t="s">
        <v>114</v>
      </c>
      <c r="B108" s="15"/>
      <c r="C108" s="15"/>
      <c r="D108" s="102" t="s">
        <v>94</v>
      </c>
      <c r="E108" s="270"/>
      <c r="F108" s="134"/>
      <c r="G108" s="111"/>
      <c r="H108" s="323"/>
      <c r="I108" s="174"/>
      <c r="J108" s="182"/>
      <c r="K108" s="182"/>
      <c r="L108" s="182"/>
      <c r="M108" s="182"/>
      <c r="N108" s="182"/>
      <c r="O108" s="182"/>
    </row>
    <row r="109" spans="1:22" ht="34.5" x14ac:dyDescent="0.25">
      <c r="A109" s="141" t="s">
        <v>115</v>
      </c>
      <c r="B109" s="15" t="s">
        <v>981</v>
      </c>
      <c r="C109" s="15">
        <v>100766</v>
      </c>
      <c r="D109" s="143" t="s">
        <v>951</v>
      </c>
      <c r="E109" s="11" t="s">
        <v>7</v>
      </c>
      <c r="F109" s="285">
        <v>52223.4</v>
      </c>
      <c r="G109" s="293">
        <v>18.86</v>
      </c>
      <c r="H109" s="322">
        <f>G109*F109</f>
        <v>984933.32400000002</v>
      </c>
      <c r="I109" s="174"/>
      <c r="J109" s="182"/>
      <c r="K109" s="182"/>
      <c r="L109" s="182"/>
      <c r="M109" s="182"/>
      <c r="N109" s="182"/>
      <c r="O109" s="182"/>
      <c r="V109" s="244"/>
    </row>
    <row r="110" spans="1:22" ht="15" customHeight="1" x14ac:dyDescent="0.25">
      <c r="A110" s="342" t="s">
        <v>904</v>
      </c>
      <c r="B110" s="343"/>
      <c r="C110" s="343"/>
      <c r="D110" s="347"/>
      <c r="E110" s="347"/>
      <c r="F110" s="347"/>
      <c r="G110" s="347"/>
      <c r="H110" s="444">
        <f>SUM(H109:H109)</f>
        <v>984933.32400000002</v>
      </c>
      <c r="I110" s="174"/>
      <c r="J110" s="182"/>
      <c r="K110" s="182"/>
      <c r="L110" s="182"/>
      <c r="M110" s="182"/>
      <c r="N110" s="182"/>
      <c r="O110" s="182"/>
      <c r="S110" s="221"/>
    </row>
    <row r="111" spans="1:22" x14ac:dyDescent="0.25">
      <c r="A111" s="141" t="s">
        <v>117</v>
      </c>
      <c r="B111" s="11"/>
      <c r="C111" s="306"/>
      <c r="D111" s="95" t="s">
        <v>46</v>
      </c>
      <c r="E111" s="272"/>
      <c r="F111" s="161"/>
      <c r="G111" s="294"/>
      <c r="H111" s="443"/>
      <c r="I111" s="174"/>
      <c r="J111" s="182"/>
      <c r="K111" s="182"/>
      <c r="L111" s="182"/>
      <c r="M111" s="182"/>
      <c r="N111" s="182"/>
      <c r="O111" s="182"/>
    </row>
    <row r="112" spans="1:22" ht="34.5" x14ac:dyDescent="0.25">
      <c r="A112" s="141" t="s">
        <v>118</v>
      </c>
      <c r="B112" s="15" t="s">
        <v>981</v>
      </c>
      <c r="C112" s="15">
        <v>100764</v>
      </c>
      <c r="D112" s="104" t="s">
        <v>952</v>
      </c>
      <c r="E112" s="93" t="s">
        <v>7</v>
      </c>
      <c r="F112" s="134">
        <v>63828.6</v>
      </c>
      <c r="G112" s="295">
        <v>18.93</v>
      </c>
      <c r="H112" s="323">
        <f>G112*F112</f>
        <v>1208275.398</v>
      </c>
      <c r="I112" s="174"/>
      <c r="J112" s="182"/>
      <c r="K112" s="182"/>
      <c r="L112" s="182"/>
      <c r="M112" s="182"/>
      <c r="N112" s="182"/>
      <c r="O112" s="182"/>
      <c r="V112" s="256"/>
    </row>
    <row r="113" spans="1:19" ht="15" customHeight="1" x14ac:dyDescent="0.25">
      <c r="A113" s="342" t="s">
        <v>119</v>
      </c>
      <c r="B113" s="343"/>
      <c r="C113" s="343"/>
      <c r="D113" s="343"/>
      <c r="E113" s="343"/>
      <c r="F113" s="343"/>
      <c r="G113" s="343"/>
      <c r="H113" s="438">
        <f>SUM(H112:H112)</f>
        <v>1208275.398</v>
      </c>
      <c r="I113" s="174"/>
      <c r="J113" s="182"/>
      <c r="K113" s="182"/>
      <c r="L113" s="182"/>
      <c r="M113" s="182"/>
      <c r="N113" s="182"/>
      <c r="O113" s="182"/>
      <c r="S113" s="221"/>
    </row>
    <row r="114" spans="1:19" x14ac:dyDescent="0.25">
      <c r="A114" s="359" t="s">
        <v>953</v>
      </c>
      <c r="B114" s="360"/>
      <c r="C114" s="360"/>
      <c r="D114" s="360"/>
      <c r="E114" s="360"/>
      <c r="F114" s="360"/>
      <c r="G114" s="360"/>
      <c r="H114" s="442">
        <f>H110+H113</f>
        <v>2193208.7220000001</v>
      </c>
      <c r="I114" s="174"/>
      <c r="J114" s="182"/>
      <c r="K114" s="182"/>
      <c r="L114" s="182"/>
      <c r="M114" s="182"/>
      <c r="N114" s="182"/>
      <c r="O114" s="182"/>
      <c r="S114" s="222"/>
    </row>
    <row r="115" spans="1:19" x14ac:dyDescent="0.25">
      <c r="A115" s="140" t="s">
        <v>116</v>
      </c>
      <c r="B115" s="1"/>
      <c r="C115" s="1"/>
      <c r="D115" s="348" t="s">
        <v>83</v>
      </c>
      <c r="E115" s="349"/>
      <c r="F115" s="349"/>
      <c r="G115" s="349"/>
      <c r="H115" s="350"/>
      <c r="I115" s="177"/>
      <c r="J115" s="182"/>
      <c r="K115" s="182"/>
      <c r="L115" s="182"/>
      <c r="M115" s="182"/>
      <c r="N115" s="182"/>
      <c r="O115" s="182"/>
    </row>
    <row r="116" spans="1:19" x14ac:dyDescent="0.25">
      <c r="A116" s="140" t="s">
        <v>600</v>
      </c>
      <c r="B116" s="1"/>
      <c r="C116" s="1"/>
      <c r="D116" s="348" t="s">
        <v>10</v>
      </c>
      <c r="E116" s="349"/>
      <c r="F116" s="349"/>
      <c r="G116" s="349"/>
      <c r="H116" s="350"/>
      <c r="I116" s="177"/>
      <c r="J116" s="182"/>
      <c r="K116" s="182"/>
      <c r="L116" s="182"/>
      <c r="M116" s="182"/>
      <c r="N116" s="182"/>
      <c r="O116" s="182"/>
    </row>
    <row r="117" spans="1:19" ht="23.25" x14ac:dyDescent="0.25">
      <c r="A117" s="140" t="s">
        <v>601</v>
      </c>
      <c r="B117" s="1" t="s">
        <v>981</v>
      </c>
      <c r="C117" s="1" t="s">
        <v>37</v>
      </c>
      <c r="D117" s="51" t="s">
        <v>1172</v>
      </c>
      <c r="E117" s="11" t="s">
        <v>4</v>
      </c>
      <c r="F117" s="53">
        <v>9.43</v>
      </c>
      <c r="G117" s="53">
        <v>665.47</v>
      </c>
      <c r="H117" s="329">
        <f>F117*G117</f>
        <v>6275.3820999999998</v>
      </c>
      <c r="I117" s="174"/>
      <c r="J117" s="182"/>
      <c r="K117" s="182"/>
      <c r="L117" s="182"/>
      <c r="M117" s="182"/>
      <c r="N117" s="182"/>
      <c r="O117" s="182"/>
      <c r="S117" s="177"/>
    </row>
    <row r="118" spans="1:19" x14ac:dyDescent="0.25">
      <c r="A118" s="140" t="s">
        <v>602</v>
      </c>
      <c r="B118" s="1" t="s">
        <v>981</v>
      </c>
      <c r="C118" s="1" t="s">
        <v>38</v>
      </c>
      <c r="D118" s="9" t="s">
        <v>39</v>
      </c>
      <c r="E118" s="4" t="s">
        <v>6</v>
      </c>
      <c r="F118" s="53">
        <v>859.29</v>
      </c>
      <c r="G118" s="53">
        <v>54.52</v>
      </c>
      <c r="H118" s="329">
        <f t="shared" ref="H118:H124" si="6">F118*G118</f>
        <v>46848.4908</v>
      </c>
      <c r="I118" s="174"/>
      <c r="J118" s="182"/>
      <c r="K118" s="182"/>
      <c r="L118" s="182"/>
      <c r="M118" s="182"/>
      <c r="N118" s="182"/>
      <c r="O118" s="182"/>
    </row>
    <row r="119" spans="1:19" ht="34.5" x14ac:dyDescent="0.25">
      <c r="A119" s="140" t="s">
        <v>603</v>
      </c>
      <c r="B119" s="1" t="s">
        <v>981</v>
      </c>
      <c r="C119" s="1" t="s">
        <v>1003</v>
      </c>
      <c r="D119" s="51" t="s">
        <v>1170</v>
      </c>
      <c r="E119" s="4" t="s">
        <v>6</v>
      </c>
      <c r="F119" s="53">
        <v>2989.72</v>
      </c>
      <c r="G119" s="53">
        <v>90.84</v>
      </c>
      <c r="H119" s="329">
        <f>F119*G119</f>
        <v>271586.16479999997</v>
      </c>
      <c r="I119" s="180"/>
      <c r="J119" s="204"/>
      <c r="K119" s="204"/>
      <c r="L119" s="204"/>
      <c r="M119" s="204"/>
      <c r="N119" s="204"/>
      <c r="O119" s="204"/>
      <c r="P119" s="231"/>
      <c r="Q119" s="231"/>
      <c r="R119" s="223"/>
    </row>
    <row r="120" spans="1:19" ht="34.5" x14ac:dyDescent="0.25">
      <c r="A120" s="140" t="s">
        <v>604</v>
      </c>
      <c r="B120" s="1" t="s">
        <v>981</v>
      </c>
      <c r="C120" s="1" t="s">
        <v>265</v>
      </c>
      <c r="D120" s="51" t="s">
        <v>1171</v>
      </c>
      <c r="E120" s="4" t="s">
        <v>6</v>
      </c>
      <c r="F120" s="53">
        <v>490.4</v>
      </c>
      <c r="G120" s="53">
        <v>142.76</v>
      </c>
      <c r="H120" s="329">
        <f>F120*G120</f>
        <v>70009.503999999986</v>
      </c>
      <c r="I120" s="180"/>
      <c r="J120" s="204"/>
      <c r="K120" s="204"/>
      <c r="L120" s="204"/>
      <c r="M120" s="204"/>
      <c r="N120" s="204"/>
      <c r="O120" s="204"/>
      <c r="P120" s="231"/>
      <c r="Q120" s="231"/>
      <c r="R120" s="223"/>
    </row>
    <row r="121" spans="1:19" ht="22.5" x14ac:dyDescent="0.25">
      <c r="A121" s="140" t="s">
        <v>605</v>
      </c>
      <c r="B121" s="1" t="s">
        <v>981</v>
      </c>
      <c r="C121" s="1" t="s">
        <v>263</v>
      </c>
      <c r="D121" s="50" t="s">
        <v>264</v>
      </c>
      <c r="E121" s="11" t="s">
        <v>6</v>
      </c>
      <c r="F121" s="53">
        <v>1575.59</v>
      </c>
      <c r="G121" s="53">
        <v>98.89</v>
      </c>
      <c r="H121" s="329">
        <f>F121*G121</f>
        <v>155810.09510000001</v>
      </c>
      <c r="I121" s="174"/>
      <c r="J121" s="182"/>
      <c r="K121" s="182"/>
      <c r="L121" s="182"/>
      <c r="M121" s="182"/>
      <c r="N121" s="182"/>
      <c r="O121" s="182"/>
    </row>
    <row r="122" spans="1:19" x14ac:dyDescent="0.25">
      <c r="A122" s="140" t="s">
        <v>606</v>
      </c>
      <c r="B122" s="1" t="s">
        <v>981</v>
      </c>
      <c r="C122" s="1" t="s">
        <v>40</v>
      </c>
      <c r="D122" s="10" t="s">
        <v>41</v>
      </c>
      <c r="E122" s="11" t="s">
        <v>35</v>
      </c>
      <c r="F122" s="53">
        <v>222.8</v>
      </c>
      <c r="G122" s="53">
        <v>114.96</v>
      </c>
      <c r="H122" s="329">
        <f t="shared" si="6"/>
        <v>25613.088</v>
      </c>
      <c r="I122" s="174"/>
      <c r="J122" s="182"/>
      <c r="K122" s="182"/>
      <c r="L122" s="182"/>
      <c r="M122" s="182"/>
      <c r="N122" s="182"/>
      <c r="O122" s="182"/>
    </row>
    <row r="123" spans="1:19" x14ac:dyDescent="0.25">
      <c r="A123" s="140" t="s">
        <v>607</v>
      </c>
      <c r="B123" s="1" t="s">
        <v>981</v>
      </c>
      <c r="C123" s="1" t="s">
        <v>43</v>
      </c>
      <c r="D123" s="10" t="s">
        <v>42</v>
      </c>
      <c r="E123" s="11" t="s">
        <v>35</v>
      </c>
      <c r="F123" s="53">
        <v>11</v>
      </c>
      <c r="G123" s="53">
        <v>115.72</v>
      </c>
      <c r="H123" s="329">
        <f t="shared" si="6"/>
        <v>1272.92</v>
      </c>
      <c r="I123" s="174"/>
      <c r="J123" s="182"/>
      <c r="K123" s="182"/>
      <c r="L123" s="182"/>
      <c r="M123" s="182"/>
      <c r="N123" s="182"/>
      <c r="O123" s="182"/>
    </row>
    <row r="124" spans="1:19" x14ac:dyDescent="0.25">
      <c r="A124" s="140" t="s">
        <v>608</v>
      </c>
      <c r="B124" s="1" t="s">
        <v>981</v>
      </c>
      <c r="C124" s="1" t="s">
        <v>40</v>
      </c>
      <c r="D124" s="10" t="s">
        <v>45</v>
      </c>
      <c r="E124" s="11" t="s">
        <v>35</v>
      </c>
      <c r="F124" s="53">
        <v>251.4</v>
      </c>
      <c r="G124" s="53">
        <v>144.96</v>
      </c>
      <c r="H124" s="329">
        <f t="shared" si="6"/>
        <v>36442.944000000003</v>
      </c>
      <c r="I124" s="174"/>
      <c r="J124" s="182"/>
      <c r="K124" s="182"/>
      <c r="L124" s="182"/>
      <c r="M124" s="182"/>
      <c r="N124" s="182"/>
      <c r="O124" s="182"/>
    </row>
    <row r="125" spans="1:19" x14ac:dyDescent="0.25">
      <c r="A125" s="351" t="s">
        <v>905</v>
      </c>
      <c r="B125" s="352"/>
      <c r="C125" s="352"/>
      <c r="D125" s="352"/>
      <c r="E125" s="352"/>
      <c r="F125" s="352"/>
      <c r="G125" s="353"/>
      <c r="H125" s="445">
        <f>SUM(H117:H124)</f>
        <v>613858.58880000003</v>
      </c>
      <c r="I125" s="174"/>
      <c r="J125" s="182"/>
      <c r="K125" s="182"/>
      <c r="L125" s="182"/>
      <c r="M125" s="182"/>
      <c r="N125" s="182"/>
      <c r="O125" s="182"/>
      <c r="S125" s="221"/>
    </row>
    <row r="126" spans="1:19" x14ac:dyDescent="0.25">
      <c r="A126" s="359" t="s">
        <v>931</v>
      </c>
      <c r="B126" s="360"/>
      <c r="C126" s="360"/>
      <c r="D126" s="360"/>
      <c r="E126" s="360"/>
      <c r="F126" s="360"/>
      <c r="G126" s="360"/>
      <c r="H126" s="442">
        <f>H125</f>
        <v>613858.58880000003</v>
      </c>
      <c r="I126" s="174"/>
      <c r="J126" s="182"/>
      <c r="K126" s="182"/>
      <c r="L126" s="182"/>
      <c r="M126" s="182"/>
      <c r="N126" s="182"/>
      <c r="O126" s="182"/>
      <c r="S126" s="222"/>
    </row>
    <row r="127" spans="1:19" x14ac:dyDescent="0.25">
      <c r="A127" s="140" t="s">
        <v>121</v>
      </c>
      <c r="B127" s="1"/>
      <c r="C127" s="1"/>
      <c r="D127" s="348" t="s">
        <v>11</v>
      </c>
      <c r="E127" s="349"/>
      <c r="F127" s="349"/>
      <c r="G127" s="349"/>
      <c r="H127" s="350"/>
      <c r="I127" s="177"/>
      <c r="J127" s="182"/>
      <c r="K127" s="182"/>
      <c r="L127" s="182"/>
      <c r="M127" s="182"/>
      <c r="N127" s="182"/>
      <c r="O127" s="182"/>
    </row>
    <row r="128" spans="1:19" x14ac:dyDescent="0.25">
      <c r="A128" s="140" t="s">
        <v>609</v>
      </c>
      <c r="B128" s="1"/>
      <c r="C128" s="1"/>
      <c r="D128" s="259" t="s">
        <v>113</v>
      </c>
      <c r="E128" s="275"/>
      <c r="F128" s="14"/>
      <c r="G128" s="275"/>
      <c r="H128" s="446"/>
      <c r="I128" s="177"/>
      <c r="J128" s="182"/>
      <c r="K128" s="182"/>
      <c r="L128" s="182"/>
      <c r="M128" s="182"/>
      <c r="N128" s="182"/>
      <c r="O128" s="182"/>
    </row>
    <row r="129" spans="1:19" ht="23.25" x14ac:dyDescent="0.25">
      <c r="A129" s="140" t="s">
        <v>610</v>
      </c>
      <c r="B129" s="15" t="s">
        <v>981</v>
      </c>
      <c r="C129" s="15">
        <v>90806</v>
      </c>
      <c r="D129" s="52" t="s">
        <v>266</v>
      </c>
      <c r="E129" s="11" t="s">
        <v>12</v>
      </c>
      <c r="F129" s="53">
        <v>87</v>
      </c>
      <c r="G129" s="53">
        <v>508.47</v>
      </c>
      <c r="H129" s="329">
        <f>F129*G129</f>
        <v>44236.89</v>
      </c>
      <c r="I129" s="174"/>
      <c r="J129" s="182"/>
      <c r="K129" s="182"/>
      <c r="L129" s="182"/>
      <c r="M129" s="182"/>
      <c r="N129" s="182"/>
      <c r="O129" s="182"/>
    </row>
    <row r="130" spans="1:19" ht="23.25" x14ac:dyDescent="0.25">
      <c r="A130" s="140" t="s">
        <v>611</v>
      </c>
      <c r="B130" s="15" t="s">
        <v>981</v>
      </c>
      <c r="C130" s="15">
        <v>90821</v>
      </c>
      <c r="D130" s="52" t="s">
        <v>267</v>
      </c>
      <c r="E130" s="11" t="s">
        <v>12</v>
      </c>
      <c r="F130" s="53">
        <v>8</v>
      </c>
      <c r="G130" s="13">
        <v>397.67</v>
      </c>
      <c r="H130" s="330">
        <f>F130*G130</f>
        <v>3181.36</v>
      </c>
      <c r="I130" s="174"/>
      <c r="J130" s="182"/>
      <c r="K130" s="182"/>
      <c r="L130" s="182"/>
      <c r="M130" s="182"/>
      <c r="N130" s="182"/>
      <c r="O130" s="182"/>
    </row>
    <row r="131" spans="1:19" ht="23.25" x14ac:dyDescent="0.25">
      <c r="A131" s="140" t="s">
        <v>612</v>
      </c>
      <c r="B131" s="15" t="s">
        <v>981</v>
      </c>
      <c r="C131" s="15">
        <v>90822</v>
      </c>
      <c r="D131" s="52" t="s">
        <v>269</v>
      </c>
      <c r="E131" s="11" t="s">
        <v>12</v>
      </c>
      <c r="F131" s="53">
        <v>4</v>
      </c>
      <c r="G131" s="13">
        <v>424.31</v>
      </c>
      <c r="H131" s="330">
        <f>F131*G131</f>
        <v>1697.24</v>
      </c>
      <c r="I131" s="174"/>
      <c r="J131" s="182"/>
      <c r="K131" s="182"/>
      <c r="L131" s="182"/>
      <c r="M131" s="182"/>
      <c r="N131" s="182"/>
      <c r="O131" s="182"/>
    </row>
    <row r="132" spans="1:19" ht="23.25" x14ac:dyDescent="0.25">
      <c r="A132" s="140" t="s">
        <v>613</v>
      </c>
      <c r="B132" s="15" t="s">
        <v>981</v>
      </c>
      <c r="C132" s="15">
        <v>90823</v>
      </c>
      <c r="D132" s="52" t="s">
        <v>268</v>
      </c>
      <c r="E132" s="11" t="s">
        <v>12</v>
      </c>
      <c r="F132" s="53">
        <v>75</v>
      </c>
      <c r="G132" s="53">
        <v>512.47</v>
      </c>
      <c r="H132" s="329">
        <f>F132*G132</f>
        <v>38435.25</v>
      </c>
      <c r="I132" s="174"/>
      <c r="J132" s="182"/>
      <c r="K132" s="182"/>
      <c r="L132" s="182"/>
      <c r="M132" s="182"/>
      <c r="N132" s="182"/>
      <c r="O132" s="182"/>
    </row>
    <row r="133" spans="1:19" x14ac:dyDescent="0.25">
      <c r="A133" s="140" t="s">
        <v>614</v>
      </c>
      <c r="B133" s="15" t="s">
        <v>981</v>
      </c>
      <c r="C133" s="15">
        <v>90838</v>
      </c>
      <c r="D133" s="52" t="s">
        <v>270</v>
      </c>
      <c r="E133" s="11" t="s">
        <v>12</v>
      </c>
      <c r="F133" s="53">
        <v>8</v>
      </c>
      <c r="G133" s="53">
        <v>1691.53</v>
      </c>
      <c r="H133" s="329">
        <f t="shared" ref="H133:H138" si="7">F133*G133</f>
        <v>13532.24</v>
      </c>
      <c r="I133" s="177"/>
      <c r="J133" s="182"/>
      <c r="K133" s="182"/>
      <c r="L133" s="182"/>
      <c r="M133" s="182"/>
      <c r="N133" s="182"/>
      <c r="O133" s="182"/>
    </row>
    <row r="134" spans="1:19" x14ac:dyDescent="0.25">
      <c r="A134" s="140" t="s">
        <v>615</v>
      </c>
      <c r="B134" s="15" t="s">
        <v>982</v>
      </c>
      <c r="C134" s="15" t="s">
        <v>1005</v>
      </c>
      <c r="D134" s="52" t="s">
        <v>1004</v>
      </c>
      <c r="E134" s="11" t="s">
        <v>12</v>
      </c>
      <c r="F134" s="53">
        <v>3</v>
      </c>
      <c r="G134" s="53">
        <v>1067.28</v>
      </c>
      <c r="H134" s="329">
        <f t="shared" si="7"/>
        <v>3201.84</v>
      </c>
      <c r="I134" s="178"/>
      <c r="J134" s="232"/>
      <c r="K134" s="232"/>
      <c r="L134" s="182"/>
      <c r="M134" s="182"/>
      <c r="N134" s="182"/>
      <c r="O134" s="182"/>
    </row>
    <row r="135" spans="1:19" ht="23.25" x14ac:dyDescent="0.25">
      <c r="A135" s="140" t="s">
        <v>616</v>
      </c>
      <c r="B135" s="15" t="s">
        <v>982</v>
      </c>
      <c r="C135" s="151" t="str">
        <f>[2]Planilha1!$B$7</f>
        <v>C080107</v>
      </c>
      <c r="D135" s="52" t="s">
        <v>274</v>
      </c>
      <c r="E135" s="11" t="s">
        <v>12</v>
      </c>
      <c r="F135" s="53">
        <v>1</v>
      </c>
      <c r="G135" s="152">
        <v>3566.03</v>
      </c>
      <c r="H135" s="329">
        <f t="shared" si="7"/>
        <v>3566.03</v>
      </c>
      <c r="I135" s="174"/>
      <c r="J135" s="233"/>
      <c r="K135" s="234"/>
      <c r="L135" s="182"/>
      <c r="M135" s="182"/>
      <c r="N135" s="182"/>
      <c r="O135" s="182"/>
    </row>
    <row r="136" spans="1:19" ht="23.25" x14ac:dyDescent="0.25">
      <c r="A136" s="140" t="s">
        <v>617</v>
      </c>
      <c r="B136" s="15" t="s">
        <v>982</v>
      </c>
      <c r="C136" s="151" t="str">
        <f>[2]Planilha1!$B$19</f>
        <v>C080108</v>
      </c>
      <c r="D136" s="52" t="s">
        <v>273</v>
      </c>
      <c r="E136" s="11" t="s">
        <v>12</v>
      </c>
      <c r="F136" s="53">
        <v>2</v>
      </c>
      <c r="G136" s="152">
        <v>1749.52</v>
      </c>
      <c r="H136" s="329">
        <f t="shared" si="7"/>
        <v>3499.04</v>
      </c>
      <c r="I136" s="174"/>
      <c r="J136" s="233"/>
      <c r="K136" s="234"/>
      <c r="L136" s="182"/>
      <c r="M136" s="182"/>
      <c r="N136" s="182"/>
      <c r="O136" s="182"/>
    </row>
    <row r="137" spans="1:19" ht="23.25" x14ac:dyDescent="0.25">
      <c r="A137" s="140" t="s">
        <v>618</v>
      </c>
      <c r="B137" s="15" t="s">
        <v>982</v>
      </c>
      <c r="C137" s="151" t="str">
        <f>[2]Planilha1!$B$30</f>
        <v>C080109</v>
      </c>
      <c r="D137" s="52" t="s">
        <v>272</v>
      </c>
      <c r="E137" s="11" t="s">
        <v>12</v>
      </c>
      <c r="F137" s="53">
        <v>1</v>
      </c>
      <c r="G137" s="152">
        <v>3055.2</v>
      </c>
      <c r="H137" s="329">
        <f>F137*G137</f>
        <v>3055.2</v>
      </c>
      <c r="I137" s="174"/>
      <c r="J137" s="182"/>
      <c r="K137" s="182"/>
      <c r="L137" s="182"/>
      <c r="M137" s="182"/>
      <c r="N137" s="182"/>
      <c r="O137" s="182"/>
    </row>
    <row r="138" spans="1:19" ht="23.25" x14ac:dyDescent="0.25">
      <c r="A138" s="140" t="s">
        <v>619</v>
      </c>
      <c r="B138" s="15" t="s">
        <v>982</v>
      </c>
      <c r="C138" s="151" t="str">
        <f>[2]Planilha1!$B$41</f>
        <v>C080110</v>
      </c>
      <c r="D138" s="52" t="s">
        <v>271</v>
      </c>
      <c r="E138" s="11" t="s">
        <v>12</v>
      </c>
      <c r="F138" s="53">
        <v>2</v>
      </c>
      <c r="G138" s="152">
        <v>5200.42</v>
      </c>
      <c r="H138" s="329">
        <f t="shared" si="7"/>
        <v>10400.84</v>
      </c>
      <c r="I138" s="174"/>
      <c r="J138" s="182"/>
      <c r="K138" s="182"/>
      <c r="L138" s="182"/>
      <c r="M138" s="182"/>
      <c r="N138" s="182"/>
      <c r="O138" s="182"/>
    </row>
    <row r="139" spans="1:19" x14ac:dyDescent="0.25">
      <c r="A139" s="140" t="s">
        <v>620</v>
      </c>
      <c r="B139" s="15" t="s">
        <v>982</v>
      </c>
      <c r="C139" s="15" t="s">
        <v>1006</v>
      </c>
      <c r="D139" s="52" t="s">
        <v>1007</v>
      </c>
      <c r="E139" s="11" t="s">
        <v>6</v>
      </c>
      <c r="F139" s="53">
        <v>3.2</v>
      </c>
      <c r="G139" s="53">
        <v>579.73</v>
      </c>
      <c r="H139" s="329">
        <f>F139*G139</f>
        <v>1855.1360000000002</v>
      </c>
      <c r="I139" s="176"/>
      <c r="J139" s="182"/>
      <c r="K139" s="182"/>
      <c r="L139" s="182"/>
      <c r="M139" s="182"/>
      <c r="N139" s="182"/>
      <c r="O139" s="182"/>
      <c r="R139" s="220"/>
    </row>
    <row r="140" spans="1:19" x14ac:dyDescent="0.25">
      <c r="A140" s="140" t="s">
        <v>621</v>
      </c>
      <c r="B140" s="15" t="s">
        <v>982</v>
      </c>
      <c r="C140" s="15" t="s">
        <v>1008</v>
      </c>
      <c r="D140" s="10" t="s">
        <v>1009</v>
      </c>
      <c r="E140" s="11" t="s">
        <v>8</v>
      </c>
      <c r="F140" s="53">
        <v>479</v>
      </c>
      <c r="G140" s="53">
        <v>8.9499999999999993</v>
      </c>
      <c r="H140" s="329">
        <f>F140*G140</f>
        <v>4287.0499999999993</v>
      </c>
      <c r="I140" s="176"/>
      <c r="J140" s="182"/>
      <c r="K140" s="182"/>
      <c r="L140" s="182"/>
      <c r="M140" s="182"/>
      <c r="N140" s="182"/>
      <c r="O140" s="182"/>
      <c r="R140" s="220"/>
    </row>
    <row r="141" spans="1:19" x14ac:dyDescent="0.25">
      <c r="A141" s="344" t="s">
        <v>906</v>
      </c>
      <c r="B141" s="345"/>
      <c r="C141" s="345"/>
      <c r="D141" s="345"/>
      <c r="E141" s="345"/>
      <c r="F141" s="345"/>
      <c r="G141" s="346"/>
      <c r="H141" s="447">
        <f>SUM(H129:H140)</f>
        <v>130948.11599999998</v>
      </c>
      <c r="I141" s="174"/>
      <c r="J141" s="182"/>
      <c r="K141" s="182"/>
      <c r="L141" s="182"/>
      <c r="M141" s="182"/>
      <c r="N141" s="182"/>
      <c r="O141" s="182"/>
      <c r="S141" s="221"/>
    </row>
    <row r="142" spans="1:19" x14ac:dyDescent="0.25">
      <c r="A142" s="315"/>
      <c r="B142" s="276"/>
      <c r="C142" s="276"/>
      <c r="D142" s="86"/>
      <c r="E142" s="276"/>
      <c r="F142" s="286"/>
      <c r="G142" s="299"/>
      <c r="H142" s="448"/>
      <c r="I142" s="174"/>
      <c r="J142" s="182"/>
      <c r="K142" s="182"/>
      <c r="L142" s="182"/>
      <c r="M142" s="182"/>
      <c r="N142" s="182"/>
      <c r="O142" s="182"/>
    </row>
    <row r="143" spans="1:19" x14ac:dyDescent="0.25">
      <c r="A143" s="316" t="s">
        <v>622</v>
      </c>
      <c r="B143" s="100"/>
      <c r="C143" s="100"/>
      <c r="D143" s="394" t="s">
        <v>1016</v>
      </c>
      <c r="E143" s="395"/>
      <c r="F143" s="395"/>
      <c r="G143" s="395"/>
      <c r="H143" s="396"/>
      <c r="I143" s="174"/>
      <c r="J143" s="182"/>
      <c r="K143" s="182"/>
      <c r="L143" s="182"/>
      <c r="M143" s="182"/>
      <c r="N143" s="182"/>
      <c r="O143" s="182"/>
    </row>
    <row r="144" spans="1:19" x14ac:dyDescent="0.25">
      <c r="A144" s="140" t="s">
        <v>623</v>
      </c>
      <c r="B144" s="15" t="s">
        <v>982</v>
      </c>
      <c r="C144" s="15" t="s">
        <v>1010</v>
      </c>
      <c r="D144" s="51" t="s">
        <v>1011</v>
      </c>
      <c r="E144" s="4" t="s">
        <v>6</v>
      </c>
      <c r="F144" s="53">
        <v>417.97</v>
      </c>
      <c r="G144" s="53">
        <v>742.54</v>
      </c>
      <c r="H144" s="329">
        <f t="shared" ref="H144:H150" si="8">F144*G144</f>
        <v>310359.44380000001</v>
      </c>
      <c r="I144" s="176"/>
      <c r="J144" s="224"/>
      <c r="K144" s="224"/>
      <c r="L144" s="224"/>
      <c r="M144" s="182"/>
      <c r="N144" s="182"/>
      <c r="O144" s="182"/>
      <c r="R144" s="220"/>
    </row>
    <row r="145" spans="1:21" x14ac:dyDescent="0.25">
      <c r="A145" s="140" t="s">
        <v>624</v>
      </c>
      <c r="B145" s="15" t="s">
        <v>982</v>
      </c>
      <c r="C145" s="15" t="s">
        <v>1012</v>
      </c>
      <c r="D145" s="9" t="s">
        <v>1013</v>
      </c>
      <c r="E145" s="4" t="s">
        <v>6</v>
      </c>
      <c r="F145" s="53">
        <v>3.2</v>
      </c>
      <c r="G145" s="53">
        <v>533.62</v>
      </c>
      <c r="H145" s="329">
        <f t="shared" si="8"/>
        <v>1707.5840000000001</v>
      </c>
      <c r="I145" s="176"/>
      <c r="J145" s="144"/>
      <c r="K145" s="182"/>
      <c r="L145" s="182"/>
      <c r="M145" s="182"/>
      <c r="N145" s="182"/>
      <c r="O145" s="182"/>
      <c r="R145" s="220"/>
    </row>
    <row r="146" spans="1:21" x14ac:dyDescent="0.25">
      <c r="A146" s="140" t="s">
        <v>625</v>
      </c>
      <c r="B146" s="15" t="s">
        <v>982</v>
      </c>
      <c r="C146" s="15" t="s">
        <v>1014</v>
      </c>
      <c r="D146" s="9" t="s">
        <v>1015</v>
      </c>
      <c r="E146" s="4" t="s">
        <v>6</v>
      </c>
      <c r="F146" s="53">
        <v>3.6</v>
      </c>
      <c r="G146" s="53">
        <v>1225.73</v>
      </c>
      <c r="H146" s="329">
        <f t="shared" si="8"/>
        <v>4412.6280000000006</v>
      </c>
      <c r="I146" s="178"/>
      <c r="J146" s="217"/>
      <c r="K146" s="182"/>
      <c r="L146" s="182"/>
      <c r="M146" s="182"/>
      <c r="N146" s="182"/>
      <c r="O146" s="182"/>
      <c r="R146" s="220"/>
    </row>
    <row r="147" spans="1:21" x14ac:dyDescent="0.25">
      <c r="A147" s="140" t="s">
        <v>626</v>
      </c>
      <c r="B147" s="15" t="s">
        <v>982</v>
      </c>
      <c r="C147" s="15" t="s">
        <v>1017</v>
      </c>
      <c r="D147" s="9" t="s">
        <v>275</v>
      </c>
      <c r="E147" s="4" t="s">
        <v>6</v>
      </c>
      <c r="F147" s="53">
        <v>2.75</v>
      </c>
      <c r="G147" s="53">
        <v>316</v>
      </c>
      <c r="H147" s="329">
        <f t="shared" si="8"/>
        <v>869</v>
      </c>
      <c r="I147" s="176"/>
      <c r="J147" s="217"/>
      <c r="K147" s="182"/>
      <c r="L147" s="182"/>
      <c r="M147" s="182"/>
      <c r="N147" s="182"/>
      <c r="O147" s="182"/>
      <c r="R147" s="220"/>
    </row>
    <row r="148" spans="1:21" x14ac:dyDescent="0.25">
      <c r="A148" s="140" t="s">
        <v>1018</v>
      </c>
      <c r="B148" s="15" t="s">
        <v>982</v>
      </c>
      <c r="C148" s="15" t="s">
        <v>1022</v>
      </c>
      <c r="D148" s="9" t="s">
        <v>1021</v>
      </c>
      <c r="E148" s="4" t="s">
        <v>8</v>
      </c>
      <c r="F148" s="53">
        <v>182.29</v>
      </c>
      <c r="G148" s="53">
        <v>212.36</v>
      </c>
      <c r="H148" s="329">
        <f t="shared" si="8"/>
        <v>38711.104400000004</v>
      </c>
      <c r="I148" s="176"/>
      <c r="J148" s="217"/>
      <c r="K148" s="182"/>
      <c r="L148" s="182"/>
      <c r="M148" s="182"/>
      <c r="N148" s="182"/>
      <c r="O148" s="182"/>
      <c r="R148" s="220"/>
    </row>
    <row r="149" spans="1:21" x14ac:dyDescent="0.25">
      <c r="A149" s="140" t="s">
        <v>1019</v>
      </c>
      <c r="B149" s="15" t="s">
        <v>982</v>
      </c>
      <c r="C149" s="15" t="s">
        <v>1023</v>
      </c>
      <c r="D149" s="9" t="s">
        <v>1020</v>
      </c>
      <c r="E149" s="4" t="s">
        <v>8</v>
      </c>
      <c r="F149" s="53">
        <v>155.1</v>
      </c>
      <c r="G149" s="53">
        <v>649.07000000000005</v>
      </c>
      <c r="H149" s="329">
        <f t="shared" si="8"/>
        <v>100670.757</v>
      </c>
      <c r="I149" s="176"/>
      <c r="J149" s="217"/>
      <c r="K149" s="182"/>
      <c r="L149" s="182"/>
      <c r="M149" s="182"/>
      <c r="N149" s="182"/>
      <c r="O149" s="182"/>
      <c r="R149" s="220"/>
    </row>
    <row r="150" spans="1:21" ht="23.25" x14ac:dyDescent="0.25">
      <c r="A150" s="140" t="s">
        <v>1024</v>
      </c>
      <c r="B150" s="15" t="s">
        <v>982</v>
      </c>
      <c r="C150" s="15" t="s">
        <v>1025</v>
      </c>
      <c r="D150" s="51" t="s">
        <v>1026</v>
      </c>
      <c r="E150" s="4" t="s">
        <v>6</v>
      </c>
      <c r="F150" s="53">
        <v>25.67</v>
      </c>
      <c r="G150" s="53">
        <v>482.73</v>
      </c>
      <c r="H150" s="329">
        <f t="shared" si="8"/>
        <v>12391.679100000001</v>
      </c>
      <c r="I150" s="176"/>
      <c r="J150" s="182"/>
      <c r="K150" s="182"/>
      <c r="L150" s="182"/>
      <c r="M150" s="182"/>
      <c r="N150" s="182"/>
      <c r="O150" s="182"/>
      <c r="R150" s="235"/>
    </row>
    <row r="151" spans="1:21" x14ac:dyDescent="0.25">
      <c r="A151" s="342" t="s">
        <v>907</v>
      </c>
      <c r="B151" s="343"/>
      <c r="C151" s="343"/>
      <c r="D151" s="343"/>
      <c r="E151" s="343"/>
      <c r="F151" s="343"/>
      <c r="G151" s="343"/>
      <c r="H151" s="438">
        <f>SUM(H144:H150)</f>
        <v>469122.19630000001</v>
      </c>
      <c r="I151" s="174"/>
      <c r="J151" s="182"/>
      <c r="K151" s="182"/>
      <c r="L151" s="182"/>
      <c r="M151" s="182"/>
      <c r="N151" s="182"/>
      <c r="O151" s="182"/>
      <c r="S151" s="221"/>
    </row>
    <row r="152" spans="1:21" x14ac:dyDescent="0.25">
      <c r="A152" s="391" t="s">
        <v>935</v>
      </c>
      <c r="B152" s="392"/>
      <c r="C152" s="392"/>
      <c r="D152" s="392"/>
      <c r="E152" s="392"/>
      <c r="F152" s="392"/>
      <c r="G152" s="393"/>
      <c r="H152" s="442">
        <f>H141+H151</f>
        <v>600070.31229999999</v>
      </c>
      <c r="I152" s="174"/>
      <c r="J152" s="182"/>
      <c r="K152" s="182"/>
      <c r="L152" s="182"/>
      <c r="M152" s="182"/>
      <c r="N152" s="182"/>
      <c r="O152" s="182"/>
      <c r="S152" s="222"/>
    </row>
    <row r="153" spans="1:21" x14ac:dyDescent="0.25">
      <c r="A153" s="140" t="s">
        <v>129</v>
      </c>
      <c r="B153" s="1"/>
      <c r="C153" s="1"/>
      <c r="D153" s="348" t="s">
        <v>628</v>
      </c>
      <c r="E153" s="349"/>
      <c r="F153" s="349"/>
      <c r="G153" s="349"/>
      <c r="H153" s="350"/>
      <c r="I153" s="177"/>
      <c r="J153" s="182"/>
      <c r="K153" s="182"/>
      <c r="L153" s="182"/>
      <c r="M153" s="182"/>
      <c r="N153" s="182"/>
      <c r="O153" s="182"/>
    </row>
    <row r="154" spans="1:21" ht="15" customHeight="1" x14ac:dyDescent="0.25">
      <c r="A154" s="140" t="s">
        <v>627</v>
      </c>
      <c r="B154" s="4"/>
      <c r="C154" s="4"/>
      <c r="D154" s="259" t="s">
        <v>120</v>
      </c>
      <c r="E154" s="4"/>
      <c r="F154" s="53"/>
      <c r="G154" s="53"/>
      <c r="H154" s="329"/>
      <c r="I154" s="174"/>
      <c r="J154" s="182"/>
      <c r="K154" s="182"/>
      <c r="L154" s="182"/>
      <c r="M154" s="182"/>
      <c r="N154" s="182"/>
      <c r="O154" s="182"/>
    </row>
    <row r="155" spans="1:21" ht="23.25" x14ac:dyDescent="0.25">
      <c r="A155" s="140" t="s">
        <v>122</v>
      </c>
      <c r="B155" s="15" t="s">
        <v>981</v>
      </c>
      <c r="C155" s="15">
        <v>91338</v>
      </c>
      <c r="D155" s="51" t="s">
        <v>276</v>
      </c>
      <c r="E155" s="4" t="s">
        <v>6</v>
      </c>
      <c r="F155" s="53">
        <v>8.8000000000000007</v>
      </c>
      <c r="G155" s="53">
        <v>828.6</v>
      </c>
      <c r="H155" s="329">
        <f>F155*G155</f>
        <v>7291.6800000000012</v>
      </c>
      <c r="I155" s="174"/>
      <c r="J155" s="182"/>
      <c r="K155" s="182"/>
      <c r="L155" s="182"/>
      <c r="M155" s="182"/>
      <c r="N155" s="182"/>
      <c r="O155" s="182"/>
    </row>
    <row r="156" spans="1:21" x14ac:dyDescent="0.25">
      <c r="A156" s="342" t="s">
        <v>908</v>
      </c>
      <c r="B156" s="343"/>
      <c r="C156" s="343"/>
      <c r="D156" s="343"/>
      <c r="E156" s="343"/>
      <c r="F156" s="343"/>
      <c r="G156" s="343"/>
      <c r="H156" s="438">
        <f>SUM(H155:H155)</f>
        <v>7291.6800000000012</v>
      </c>
      <c r="I156" s="174"/>
      <c r="J156" s="182"/>
      <c r="K156" s="182"/>
      <c r="L156" s="182"/>
      <c r="M156" s="182"/>
      <c r="N156" s="182"/>
      <c r="O156" s="182"/>
      <c r="S156" s="221"/>
    </row>
    <row r="157" spans="1:21" x14ac:dyDescent="0.25">
      <c r="A157" s="359" t="s">
        <v>936</v>
      </c>
      <c r="B157" s="360"/>
      <c r="C157" s="360"/>
      <c r="D157" s="360"/>
      <c r="E157" s="360"/>
      <c r="F157" s="360"/>
      <c r="G157" s="360"/>
      <c r="H157" s="442">
        <f>H156</f>
        <v>7291.6800000000012</v>
      </c>
      <c r="I157" s="174"/>
      <c r="J157" s="182"/>
      <c r="K157" s="182"/>
      <c r="L157" s="182"/>
      <c r="M157" s="182"/>
      <c r="N157" s="182"/>
      <c r="O157" s="182"/>
      <c r="S157" s="222"/>
    </row>
    <row r="158" spans="1:21" x14ac:dyDescent="0.25">
      <c r="A158" s="140" t="s">
        <v>125</v>
      </c>
      <c r="B158" s="1"/>
      <c r="C158" s="1"/>
      <c r="D158" s="348" t="s">
        <v>13</v>
      </c>
      <c r="E158" s="349"/>
      <c r="F158" s="349"/>
      <c r="G158" s="349"/>
      <c r="H158" s="350"/>
      <c r="I158" s="174"/>
      <c r="J158" s="182"/>
      <c r="K158" s="182"/>
      <c r="L158" s="182"/>
      <c r="M158" s="182"/>
      <c r="N158" s="182"/>
      <c r="O158" s="182"/>
    </row>
    <row r="159" spans="1:21" ht="34.5" x14ac:dyDescent="0.25">
      <c r="A159" s="140" t="s">
        <v>629</v>
      </c>
      <c r="B159" s="1" t="s">
        <v>981</v>
      </c>
      <c r="C159" s="1" t="s">
        <v>47</v>
      </c>
      <c r="D159" s="51" t="s">
        <v>277</v>
      </c>
      <c r="E159" s="4" t="s">
        <v>7</v>
      </c>
      <c r="F159" s="53">
        <v>4449</v>
      </c>
      <c r="G159" s="53">
        <v>14.31</v>
      </c>
      <c r="H159" s="329">
        <f>F159*G159</f>
        <v>63665.19</v>
      </c>
      <c r="I159" s="174"/>
      <c r="J159" s="182"/>
      <c r="K159" s="182"/>
      <c r="L159" s="182"/>
      <c r="M159" s="182"/>
      <c r="N159" s="182"/>
      <c r="O159" s="182"/>
      <c r="S159" s="177"/>
    </row>
    <row r="160" spans="1:21" ht="26.25" x14ac:dyDescent="0.25">
      <c r="A160" s="140" t="s">
        <v>1027</v>
      </c>
      <c r="B160" s="1" t="s">
        <v>982</v>
      </c>
      <c r="C160" s="1" t="s">
        <v>1196</v>
      </c>
      <c r="D160" s="331" t="s">
        <v>1197</v>
      </c>
      <c r="E160" s="4" t="s">
        <v>6</v>
      </c>
      <c r="F160" s="53">
        <v>486.58</v>
      </c>
      <c r="G160" s="53">
        <v>174.21</v>
      </c>
      <c r="H160" s="329">
        <f>F160*G160</f>
        <v>84767.101800000004</v>
      </c>
      <c r="I160" s="176"/>
      <c r="J160" s="201"/>
      <c r="K160" s="182"/>
      <c r="L160" s="182"/>
      <c r="M160" s="182"/>
      <c r="N160" s="232"/>
      <c r="O160" s="257"/>
      <c r="P160" s="236"/>
      <c r="Q160" s="236"/>
      <c r="R160" s="235"/>
      <c r="S160" s="177"/>
      <c r="T160" s="237"/>
      <c r="U160" s="237"/>
    </row>
    <row r="161" spans="1:19" ht="23.25" customHeight="1" x14ac:dyDescent="0.25">
      <c r="A161" s="140" t="s">
        <v>1028</v>
      </c>
      <c r="B161" s="1" t="s">
        <v>982</v>
      </c>
      <c r="C161" s="1" t="s">
        <v>1030</v>
      </c>
      <c r="D161" s="51" t="s">
        <v>1029</v>
      </c>
      <c r="E161" s="4" t="s">
        <v>8</v>
      </c>
      <c r="F161" s="53">
        <v>50.05</v>
      </c>
      <c r="G161" s="53">
        <v>107.15</v>
      </c>
      <c r="H161" s="329">
        <f>F161*G161</f>
        <v>5362.8575000000001</v>
      </c>
      <c r="I161" s="176"/>
      <c r="J161" s="202"/>
      <c r="K161" s="204"/>
      <c r="L161" s="204"/>
      <c r="M161" s="182"/>
      <c r="N161" s="232"/>
      <c r="O161" s="182"/>
      <c r="R161" s="235"/>
      <c r="S161" s="177"/>
    </row>
    <row r="162" spans="1:19" ht="23.25" customHeight="1" x14ac:dyDescent="0.25">
      <c r="A162" s="140" t="s">
        <v>1243</v>
      </c>
      <c r="B162" s="1" t="s">
        <v>982</v>
      </c>
      <c r="C162" s="1" t="s">
        <v>1240</v>
      </c>
      <c r="D162" s="154" t="s">
        <v>1244</v>
      </c>
      <c r="E162" s="4" t="s">
        <v>8</v>
      </c>
      <c r="F162" s="53">
        <v>43</v>
      </c>
      <c r="G162" s="53">
        <v>110.75</v>
      </c>
      <c r="H162" s="329">
        <f>F162*G162</f>
        <v>4762.25</v>
      </c>
      <c r="I162" s="176"/>
      <c r="J162" s="202"/>
      <c r="K162" s="204"/>
      <c r="L162" s="204"/>
      <c r="M162" s="182"/>
      <c r="N162" s="232"/>
      <c r="O162" s="182"/>
      <c r="R162" s="235"/>
      <c r="S162" s="177"/>
    </row>
    <row r="163" spans="1:19" ht="23.25" customHeight="1" x14ac:dyDescent="0.25">
      <c r="A163" s="140" t="s">
        <v>1245</v>
      </c>
      <c r="B163" s="1" t="s">
        <v>982</v>
      </c>
      <c r="C163" s="171" t="s">
        <v>1246</v>
      </c>
      <c r="D163" s="332" t="s">
        <v>1247</v>
      </c>
      <c r="E163" s="4" t="s">
        <v>8</v>
      </c>
      <c r="F163" s="53">
        <v>153</v>
      </c>
      <c r="G163" s="53">
        <v>152.53</v>
      </c>
      <c r="H163" s="329">
        <f>F163*G163</f>
        <v>23337.09</v>
      </c>
      <c r="I163" s="176"/>
      <c r="J163" s="202"/>
      <c r="K163" s="204"/>
      <c r="L163" s="204"/>
      <c r="M163" s="182"/>
      <c r="N163" s="232"/>
      <c r="O163" s="182"/>
      <c r="R163" s="235"/>
      <c r="S163" s="177"/>
    </row>
    <row r="164" spans="1:19" ht="15" customHeight="1" x14ac:dyDescent="0.25">
      <c r="A164" s="351" t="s">
        <v>909</v>
      </c>
      <c r="B164" s="352"/>
      <c r="C164" s="352"/>
      <c r="D164" s="352"/>
      <c r="E164" s="352"/>
      <c r="F164" s="352"/>
      <c r="G164" s="353"/>
      <c r="H164" s="445">
        <f>SUM(H159:H163)</f>
        <v>181894.48930000002</v>
      </c>
      <c r="I164" s="258"/>
      <c r="J164" s="202"/>
      <c r="K164" s="182"/>
      <c r="L164" s="182"/>
      <c r="M164" s="182"/>
      <c r="N164" s="182"/>
      <c r="O164" s="182"/>
      <c r="S164" s="221"/>
    </row>
    <row r="165" spans="1:19" x14ac:dyDescent="0.25">
      <c r="A165" s="359" t="s">
        <v>937</v>
      </c>
      <c r="B165" s="360"/>
      <c r="C165" s="360"/>
      <c r="D165" s="360"/>
      <c r="E165" s="360"/>
      <c r="F165" s="360"/>
      <c r="G165" s="360"/>
      <c r="H165" s="442">
        <f>H164</f>
        <v>181894.48930000002</v>
      </c>
      <c r="I165" s="174"/>
      <c r="J165" s="182"/>
      <c r="K165" s="182"/>
      <c r="L165" s="182"/>
      <c r="M165" s="182"/>
      <c r="N165" s="182"/>
      <c r="O165" s="182"/>
      <c r="S165" s="222"/>
    </row>
    <row r="166" spans="1:19" x14ac:dyDescent="0.25">
      <c r="A166" s="140" t="s">
        <v>126</v>
      </c>
      <c r="B166" s="300"/>
      <c r="C166" s="300"/>
      <c r="D166" s="348" t="s">
        <v>14</v>
      </c>
      <c r="E166" s="348"/>
      <c r="F166" s="348"/>
      <c r="G166" s="348"/>
      <c r="H166" s="390"/>
      <c r="I166" s="174"/>
      <c r="J166" s="182"/>
      <c r="K166" s="182"/>
      <c r="L166" s="182"/>
      <c r="M166" s="182"/>
      <c r="N166" s="182"/>
      <c r="O166" s="182"/>
    </row>
    <row r="167" spans="1:19" x14ac:dyDescent="0.25">
      <c r="A167" s="140" t="s">
        <v>630</v>
      </c>
      <c r="B167" s="1"/>
      <c r="C167" s="1"/>
      <c r="D167" s="348" t="s">
        <v>123</v>
      </c>
      <c r="E167" s="348"/>
      <c r="F167" s="348"/>
      <c r="G167" s="348"/>
      <c r="H167" s="390"/>
      <c r="I167" s="174"/>
      <c r="J167" s="182"/>
      <c r="K167" s="182"/>
      <c r="L167" s="182"/>
      <c r="M167" s="182"/>
      <c r="N167" s="182"/>
      <c r="O167" s="182"/>
    </row>
    <row r="168" spans="1:19" ht="30" customHeight="1" x14ac:dyDescent="0.25">
      <c r="A168" s="140" t="s">
        <v>631</v>
      </c>
      <c r="B168" s="1" t="s">
        <v>981</v>
      </c>
      <c r="C168" s="1" t="s">
        <v>48</v>
      </c>
      <c r="D168" s="51" t="s">
        <v>278</v>
      </c>
      <c r="E168" s="4" t="s">
        <v>6</v>
      </c>
      <c r="F168" s="53">
        <v>5979.44</v>
      </c>
      <c r="G168" s="53">
        <v>5.1100000000000003</v>
      </c>
      <c r="H168" s="329">
        <f>F168*G168</f>
        <v>30554.938399999999</v>
      </c>
      <c r="I168" s="174"/>
      <c r="J168" s="182"/>
      <c r="K168" s="182"/>
      <c r="L168" s="182"/>
      <c r="M168" s="182"/>
      <c r="N168" s="182"/>
      <c r="O168" s="182"/>
    </row>
    <row r="169" spans="1:19" ht="39.950000000000003" customHeight="1" x14ac:dyDescent="0.25">
      <c r="A169" s="140" t="s">
        <v>632</v>
      </c>
      <c r="B169" s="1" t="s">
        <v>981</v>
      </c>
      <c r="C169" s="1" t="s">
        <v>53</v>
      </c>
      <c r="D169" s="52" t="s">
        <v>279</v>
      </c>
      <c r="E169" s="4" t="s">
        <v>6</v>
      </c>
      <c r="F169" s="53">
        <v>5979.44</v>
      </c>
      <c r="G169" s="53">
        <v>37.299999999999997</v>
      </c>
      <c r="H169" s="329">
        <f>F169*G169</f>
        <v>223033.11199999996</v>
      </c>
      <c r="I169" s="174"/>
      <c r="J169" s="182"/>
      <c r="K169" s="182"/>
      <c r="L169" s="182"/>
      <c r="M169" s="182"/>
      <c r="N169" s="182"/>
      <c r="O169" s="182"/>
    </row>
    <row r="170" spans="1:19" ht="45" customHeight="1" x14ac:dyDescent="0.25">
      <c r="A170" s="140" t="s">
        <v>633</v>
      </c>
      <c r="B170" s="1" t="s">
        <v>981</v>
      </c>
      <c r="C170" s="1" t="s">
        <v>58</v>
      </c>
      <c r="D170" s="48" t="s">
        <v>1031</v>
      </c>
      <c r="E170" s="4" t="s">
        <v>6</v>
      </c>
      <c r="F170" s="53">
        <v>478.01</v>
      </c>
      <c r="G170" s="53">
        <v>41.63</v>
      </c>
      <c r="H170" s="329">
        <f>F170*G170</f>
        <v>19899.5563</v>
      </c>
      <c r="I170" s="174"/>
      <c r="J170" s="182"/>
      <c r="K170" s="182"/>
      <c r="L170" s="182"/>
      <c r="M170" s="182"/>
      <c r="N170" s="182"/>
      <c r="O170" s="182"/>
    </row>
    <row r="171" spans="1:19" ht="39.950000000000003" customHeight="1" x14ac:dyDescent="0.25">
      <c r="A171" s="140" t="s">
        <v>634</v>
      </c>
      <c r="B171" s="1" t="s">
        <v>981</v>
      </c>
      <c r="C171" s="1" t="s">
        <v>52</v>
      </c>
      <c r="D171" s="52" t="s">
        <v>280</v>
      </c>
      <c r="E171" s="4" t="s">
        <v>6</v>
      </c>
      <c r="F171" s="53">
        <v>478.01</v>
      </c>
      <c r="G171" s="53">
        <v>79.73</v>
      </c>
      <c r="H171" s="329">
        <f>F171*G171</f>
        <v>38111.737300000001</v>
      </c>
      <c r="I171" s="174"/>
      <c r="J171" s="182"/>
      <c r="K171" s="182"/>
      <c r="L171" s="182"/>
      <c r="M171" s="182"/>
      <c r="N171" s="182"/>
      <c r="O171" s="182"/>
    </row>
    <row r="172" spans="1:19" x14ac:dyDescent="0.25">
      <c r="A172" s="351" t="s">
        <v>910</v>
      </c>
      <c r="B172" s="352"/>
      <c r="C172" s="352"/>
      <c r="D172" s="352"/>
      <c r="E172" s="352"/>
      <c r="F172" s="352"/>
      <c r="G172" s="353"/>
      <c r="H172" s="445">
        <f>SUM(H168:H171)</f>
        <v>311599.34399999992</v>
      </c>
      <c r="I172" s="174"/>
      <c r="J172" s="182"/>
      <c r="K172" s="182"/>
      <c r="L172" s="182"/>
      <c r="M172" s="182"/>
      <c r="N172" s="182"/>
      <c r="O172" s="182"/>
      <c r="S172" s="221"/>
    </row>
    <row r="173" spans="1:19" x14ac:dyDescent="0.25">
      <c r="A173" s="140" t="s">
        <v>131</v>
      </c>
      <c r="B173" s="4"/>
      <c r="C173" s="4"/>
      <c r="D173" s="12" t="s">
        <v>124</v>
      </c>
      <c r="E173" s="4"/>
      <c r="F173" s="53"/>
      <c r="G173" s="53"/>
      <c r="H173" s="329"/>
      <c r="I173" s="174"/>
      <c r="J173" s="182"/>
      <c r="K173" s="182"/>
      <c r="L173" s="182"/>
      <c r="M173" s="182"/>
      <c r="N173" s="182"/>
      <c r="O173" s="182"/>
    </row>
    <row r="174" spans="1:19" ht="23.25" x14ac:dyDescent="0.25">
      <c r="A174" s="140" t="s">
        <v>635</v>
      </c>
      <c r="B174" s="1" t="s">
        <v>981</v>
      </c>
      <c r="C174" s="1" t="s">
        <v>49</v>
      </c>
      <c r="D174" s="51" t="s">
        <v>285</v>
      </c>
      <c r="E174" s="4" t="s">
        <v>6</v>
      </c>
      <c r="F174" s="53">
        <v>2250.19</v>
      </c>
      <c r="G174" s="53">
        <v>10.130000000000001</v>
      </c>
      <c r="H174" s="329">
        <f>F174*G174</f>
        <v>22794.424700000003</v>
      </c>
      <c r="I174" s="174"/>
      <c r="J174" s="182"/>
      <c r="K174" s="182"/>
      <c r="L174" s="182"/>
      <c r="M174" s="182"/>
      <c r="N174" s="182"/>
      <c r="O174" s="182"/>
    </row>
    <row r="175" spans="1:19" ht="34.5" x14ac:dyDescent="0.25">
      <c r="A175" s="140" t="s">
        <v>636</v>
      </c>
      <c r="B175" s="1" t="s">
        <v>981</v>
      </c>
      <c r="C175" s="1" t="s">
        <v>50</v>
      </c>
      <c r="D175" s="52" t="s">
        <v>282</v>
      </c>
      <c r="E175" s="4" t="s">
        <v>6</v>
      </c>
      <c r="F175" s="53">
        <v>2250.19</v>
      </c>
      <c r="G175" s="53">
        <v>37.47</v>
      </c>
      <c r="H175" s="329">
        <f>F175*G175</f>
        <v>84314.619300000006</v>
      </c>
      <c r="I175" s="174"/>
      <c r="J175" s="182"/>
      <c r="K175" s="182"/>
      <c r="L175" s="182"/>
      <c r="M175" s="182"/>
      <c r="N175" s="182"/>
      <c r="O175" s="182"/>
    </row>
    <row r="176" spans="1:19" ht="17.25" customHeight="1" x14ac:dyDescent="0.25">
      <c r="A176" s="351" t="s">
        <v>911</v>
      </c>
      <c r="B176" s="352"/>
      <c r="C176" s="352"/>
      <c r="D176" s="352"/>
      <c r="E176" s="352"/>
      <c r="F176" s="352"/>
      <c r="G176" s="353"/>
      <c r="H176" s="445">
        <f>SUM(H174:H175)</f>
        <v>107109.04400000001</v>
      </c>
      <c r="I176" s="174"/>
      <c r="J176" s="182"/>
      <c r="K176" s="182"/>
      <c r="L176" s="182"/>
      <c r="M176" s="182"/>
      <c r="N176" s="182"/>
      <c r="O176" s="182"/>
      <c r="S176" s="221"/>
    </row>
    <row r="177" spans="1:19" ht="17.25" customHeight="1" x14ac:dyDescent="0.25">
      <c r="A177" s="140" t="s">
        <v>132</v>
      </c>
      <c r="B177" s="4"/>
      <c r="C177" s="4"/>
      <c r="D177" s="12" t="s">
        <v>286</v>
      </c>
      <c r="E177" s="4"/>
      <c r="F177" s="53"/>
      <c r="G177" s="53"/>
      <c r="H177" s="329"/>
      <c r="I177" s="174"/>
      <c r="J177" s="182"/>
      <c r="K177" s="182"/>
      <c r="L177" s="182"/>
      <c r="M177" s="182"/>
      <c r="N177" s="182"/>
      <c r="O177" s="182"/>
    </row>
    <row r="178" spans="1:19" ht="23.25" x14ac:dyDescent="0.25">
      <c r="A178" s="140" t="s">
        <v>637</v>
      </c>
      <c r="B178" s="1" t="s">
        <v>981</v>
      </c>
      <c r="C178" s="1" t="s">
        <v>288</v>
      </c>
      <c r="D178" s="51" t="s">
        <v>287</v>
      </c>
      <c r="E178" s="4" t="s">
        <v>6</v>
      </c>
      <c r="F178" s="53">
        <v>1371</v>
      </c>
      <c r="G178" s="53">
        <v>150.94</v>
      </c>
      <c r="H178" s="329">
        <f t="shared" ref="H178:H183" si="9">F178*G178</f>
        <v>206938.74</v>
      </c>
      <c r="I178" s="174"/>
      <c r="J178" s="182"/>
      <c r="K178" s="182"/>
      <c r="L178" s="182"/>
      <c r="M178" s="182"/>
      <c r="N178" s="182"/>
      <c r="O178" s="182"/>
    </row>
    <row r="179" spans="1:19" x14ac:dyDescent="0.25">
      <c r="A179" s="140" t="s">
        <v>638</v>
      </c>
      <c r="B179" s="1" t="s">
        <v>982</v>
      </c>
      <c r="C179" s="170" t="s">
        <v>1274</v>
      </c>
      <c r="D179" s="168" t="s">
        <v>1275</v>
      </c>
      <c r="E179" s="4" t="s">
        <v>4</v>
      </c>
      <c r="F179" s="53">
        <v>40.06</v>
      </c>
      <c r="G179" s="53">
        <v>760.4</v>
      </c>
      <c r="H179" s="329">
        <f t="shared" si="9"/>
        <v>30461.624</v>
      </c>
      <c r="I179" s="174"/>
      <c r="J179" s="182"/>
      <c r="K179" s="182"/>
      <c r="L179" s="182"/>
      <c r="M179" s="182"/>
      <c r="N179" s="182"/>
      <c r="O179" s="182"/>
    </row>
    <row r="180" spans="1:19" ht="23.25" x14ac:dyDescent="0.25">
      <c r="A180" s="140" t="s">
        <v>639</v>
      </c>
      <c r="B180" s="15" t="s">
        <v>981</v>
      </c>
      <c r="C180" s="15">
        <v>101727</v>
      </c>
      <c r="D180" s="52" t="s">
        <v>1032</v>
      </c>
      <c r="E180" s="4" t="s">
        <v>6</v>
      </c>
      <c r="F180" s="53">
        <v>231.36</v>
      </c>
      <c r="G180" s="53">
        <v>196.7</v>
      </c>
      <c r="H180" s="329">
        <f t="shared" si="9"/>
        <v>45508.512000000002</v>
      </c>
      <c r="I180" s="174"/>
      <c r="J180" s="182"/>
      <c r="K180" s="182"/>
      <c r="L180" s="182"/>
      <c r="M180" s="182"/>
      <c r="N180" s="182"/>
      <c r="O180" s="182"/>
    </row>
    <row r="181" spans="1:19" ht="23.25" x14ac:dyDescent="0.25">
      <c r="A181" s="140" t="s">
        <v>1033</v>
      </c>
      <c r="B181" s="15" t="s">
        <v>982</v>
      </c>
      <c r="C181" s="15" t="s">
        <v>1034</v>
      </c>
      <c r="D181" s="52" t="s">
        <v>1035</v>
      </c>
      <c r="E181" s="4" t="s">
        <v>8</v>
      </c>
      <c r="F181" s="53">
        <v>67.33</v>
      </c>
      <c r="G181" s="53">
        <v>44.43</v>
      </c>
      <c r="H181" s="329">
        <f t="shared" si="9"/>
        <v>2991.4719</v>
      </c>
      <c r="I181" s="176"/>
      <c r="J181" s="182"/>
      <c r="K181" s="182"/>
      <c r="L181" s="182"/>
      <c r="M181" s="182"/>
      <c r="N181" s="182"/>
      <c r="O181" s="182"/>
      <c r="R181" s="235"/>
    </row>
    <row r="182" spans="1:19" x14ac:dyDescent="0.25">
      <c r="A182" s="140" t="s">
        <v>1248</v>
      </c>
      <c r="B182" s="1" t="s">
        <v>981</v>
      </c>
      <c r="C182" s="1" t="s">
        <v>296</v>
      </c>
      <c r="D182" s="52" t="s">
        <v>297</v>
      </c>
      <c r="E182" s="4" t="s">
        <v>8</v>
      </c>
      <c r="F182" s="53">
        <v>412.1</v>
      </c>
      <c r="G182" s="53">
        <v>169.2</v>
      </c>
      <c r="H182" s="329">
        <f t="shared" si="9"/>
        <v>69727.319999999992</v>
      </c>
      <c r="I182" s="174"/>
      <c r="J182" s="182"/>
      <c r="K182" s="182"/>
      <c r="L182" s="182"/>
      <c r="M182" s="182"/>
      <c r="N182" s="182"/>
      <c r="O182" s="182"/>
    </row>
    <row r="183" spans="1:19" x14ac:dyDescent="0.25">
      <c r="A183" s="140" t="s">
        <v>1273</v>
      </c>
      <c r="B183" s="1" t="s">
        <v>982</v>
      </c>
      <c r="C183" s="1" t="s">
        <v>1249</v>
      </c>
      <c r="D183" s="332" t="s">
        <v>1268</v>
      </c>
      <c r="E183" s="4" t="s">
        <v>7</v>
      </c>
      <c r="F183" s="53">
        <v>955.94</v>
      </c>
      <c r="G183" s="53">
        <v>14.15</v>
      </c>
      <c r="H183" s="329">
        <f t="shared" si="9"/>
        <v>13526.551000000001</v>
      </c>
      <c r="I183" s="174"/>
      <c r="J183" s="182"/>
      <c r="K183" s="182"/>
      <c r="L183" s="182"/>
      <c r="M183" s="182"/>
      <c r="N183" s="182"/>
      <c r="O183" s="182"/>
    </row>
    <row r="184" spans="1:19" ht="17.25" customHeight="1" x14ac:dyDescent="0.25">
      <c r="A184" s="351" t="s">
        <v>912</v>
      </c>
      <c r="B184" s="352"/>
      <c r="C184" s="352"/>
      <c r="D184" s="352"/>
      <c r="E184" s="352"/>
      <c r="F184" s="352"/>
      <c r="G184" s="353"/>
      <c r="H184" s="445">
        <f>SUM(H178:H183)</f>
        <v>369154.21889999998</v>
      </c>
      <c r="I184" s="174"/>
      <c r="J184" s="182"/>
      <c r="K184" s="182"/>
      <c r="L184" s="182"/>
      <c r="M184" s="182"/>
      <c r="N184" s="182"/>
      <c r="O184" s="182"/>
      <c r="S184" s="221"/>
    </row>
    <row r="185" spans="1:19" x14ac:dyDescent="0.25">
      <c r="A185" s="140" t="s">
        <v>640</v>
      </c>
      <c r="B185" s="1"/>
      <c r="C185" s="1"/>
      <c r="D185" s="348" t="s">
        <v>54</v>
      </c>
      <c r="E185" s="349"/>
      <c r="F185" s="349"/>
      <c r="G185" s="349"/>
      <c r="H185" s="350"/>
      <c r="I185" s="174"/>
      <c r="J185" s="182"/>
      <c r="K185" s="182"/>
      <c r="L185" s="182"/>
      <c r="M185" s="182"/>
      <c r="N185" s="182"/>
      <c r="O185" s="182"/>
    </row>
    <row r="186" spans="1:19" ht="17.25" customHeight="1" x14ac:dyDescent="0.25">
      <c r="A186" s="140" t="s">
        <v>641</v>
      </c>
      <c r="B186" s="1"/>
      <c r="C186" s="1"/>
      <c r="D186" s="348" t="s">
        <v>291</v>
      </c>
      <c r="E186" s="348"/>
      <c r="F186" s="348"/>
      <c r="G186" s="348"/>
      <c r="H186" s="390"/>
      <c r="I186" s="174"/>
      <c r="J186" s="182"/>
      <c r="K186" s="182"/>
      <c r="L186" s="182"/>
      <c r="M186" s="182"/>
      <c r="N186" s="182"/>
      <c r="O186" s="182"/>
    </row>
    <row r="187" spans="1:19" ht="23.25" x14ac:dyDescent="0.25">
      <c r="A187" s="140" t="s">
        <v>642</v>
      </c>
      <c r="B187" s="1" t="s">
        <v>981</v>
      </c>
      <c r="C187" s="1" t="s">
        <v>48</v>
      </c>
      <c r="D187" s="51" t="s">
        <v>278</v>
      </c>
      <c r="E187" s="4" t="s">
        <v>6</v>
      </c>
      <c r="F187" s="53">
        <v>2428.33</v>
      </c>
      <c r="G187" s="53">
        <v>5.1100000000000003</v>
      </c>
      <c r="H187" s="329">
        <f>F187*G187</f>
        <v>12408.766300000001</v>
      </c>
      <c r="I187" s="174"/>
      <c r="J187" s="238"/>
      <c r="K187" s="238"/>
      <c r="L187" s="182"/>
      <c r="M187" s="182"/>
      <c r="N187" s="182"/>
      <c r="O187" s="182"/>
      <c r="R187" s="223"/>
    </row>
    <row r="188" spans="1:19" ht="34.5" x14ac:dyDescent="0.25">
      <c r="A188" s="140" t="s">
        <v>643</v>
      </c>
      <c r="B188" s="1" t="s">
        <v>981</v>
      </c>
      <c r="C188" s="1" t="s">
        <v>53</v>
      </c>
      <c r="D188" s="52" t="s">
        <v>279</v>
      </c>
      <c r="E188" s="4" t="s">
        <v>6</v>
      </c>
      <c r="F188" s="53">
        <v>2428.33</v>
      </c>
      <c r="G188" s="53">
        <v>37.299999999999997</v>
      </c>
      <c r="H188" s="329">
        <f>F188*G188</f>
        <v>90576.708999999988</v>
      </c>
      <c r="I188" s="181"/>
      <c r="J188" s="203"/>
      <c r="K188" s="204"/>
      <c r="L188" s="204"/>
      <c r="M188" s="204"/>
      <c r="N188" s="204"/>
      <c r="O188" s="204"/>
      <c r="P188" s="231"/>
      <c r="Q188" s="231"/>
      <c r="R188" s="223"/>
    </row>
    <row r="189" spans="1:19" ht="23.25" x14ac:dyDescent="0.25">
      <c r="A189" s="140" t="s">
        <v>644</v>
      </c>
      <c r="B189" s="15" t="s">
        <v>982</v>
      </c>
      <c r="C189" s="124" t="s">
        <v>1209</v>
      </c>
      <c r="D189" s="52" t="s">
        <v>1208</v>
      </c>
      <c r="E189" s="4" t="s">
        <v>6</v>
      </c>
      <c r="F189" s="53">
        <v>111.36</v>
      </c>
      <c r="G189" s="152">
        <v>1673.75</v>
      </c>
      <c r="H189" s="329">
        <f>F189*G189</f>
        <v>186388.8</v>
      </c>
      <c r="I189" s="205"/>
      <c r="J189" s="206"/>
      <c r="K189" s="204"/>
      <c r="L189" s="204"/>
      <c r="M189" s="204"/>
      <c r="N189" s="204"/>
      <c r="O189" s="204"/>
      <c r="P189" s="231"/>
      <c r="Q189" s="231"/>
      <c r="R189" s="239"/>
    </row>
    <row r="190" spans="1:19" ht="23.25" x14ac:dyDescent="0.25">
      <c r="A190" s="140" t="s">
        <v>645</v>
      </c>
      <c r="B190" s="15" t="s">
        <v>982</v>
      </c>
      <c r="C190" s="15" t="s">
        <v>1037</v>
      </c>
      <c r="D190" s="52" t="s">
        <v>1036</v>
      </c>
      <c r="E190" s="4" t="s">
        <v>6</v>
      </c>
      <c r="F190" s="53">
        <v>474.36</v>
      </c>
      <c r="G190" s="53">
        <v>1025.47</v>
      </c>
      <c r="H190" s="329">
        <f>F190*G190</f>
        <v>486441.94920000003</v>
      </c>
      <c r="I190" s="176"/>
      <c r="J190" s="240"/>
      <c r="K190" s="182"/>
      <c r="L190" s="182"/>
      <c r="M190" s="182"/>
      <c r="N190" s="182"/>
      <c r="O190" s="182"/>
      <c r="R190" s="241"/>
    </row>
    <row r="191" spans="1:19" x14ac:dyDescent="0.25">
      <c r="A191" s="351" t="s">
        <v>913</v>
      </c>
      <c r="B191" s="352"/>
      <c r="C191" s="352"/>
      <c r="D191" s="352"/>
      <c r="E191" s="352"/>
      <c r="F191" s="352"/>
      <c r="G191" s="353"/>
      <c r="H191" s="445">
        <f>SUM(H187:H190)</f>
        <v>775816.22450000001</v>
      </c>
      <c r="I191" s="174"/>
      <c r="J191" s="182"/>
      <c r="K191" s="182"/>
      <c r="L191" s="182"/>
      <c r="M191" s="182"/>
      <c r="N191" s="182"/>
      <c r="O191" s="182"/>
      <c r="S191" s="221"/>
    </row>
    <row r="192" spans="1:19" x14ac:dyDescent="0.25">
      <c r="A192" s="359" t="s">
        <v>891</v>
      </c>
      <c r="B192" s="360"/>
      <c r="C192" s="360"/>
      <c r="D192" s="360"/>
      <c r="E192" s="360"/>
      <c r="F192" s="360"/>
      <c r="G192" s="360"/>
      <c r="H192" s="442">
        <f>H172+H176+H184+H191</f>
        <v>1563678.8314</v>
      </c>
      <c r="I192" s="174"/>
      <c r="J192" s="182"/>
      <c r="K192" s="182"/>
      <c r="L192" s="182"/>
      <c r="M192" s="182"/>
      <c r="N192" s="182"/>
      <c r="O192" s="182"/>
      <c r="S192" s="222"/>
    </row>
    <row r="193" spans="1:19" x14ac:dyDescent="0.25">
      <c r="A193" s="140" t="s">
        <v>127</v>
      </c>
      <c r="B193" s="1"/>
      <c r="C193" s="1"/>
      <c r="D193" s="348" t="s">
        <v>15</v>
      </c>
      <c r="E193" s="349"/>
      <c r="F193" s="349"/>
      <c r="G193" s="349"/>
      <c r="H193" s="350"/>
      <c r="I193" s="177"/>
      <c r="J193" s="182"/>
      <c r="K193" s="182"/>
      <c r="L193" s="182"/>
      <c r="M193" s="182"/>
      <c r="N193" s="182"/>
      <c r="O193" s="182"/>
    </row>
    <row r="194" spans="1:19" ht="26.25" customHeight="1" x14ac:dyDescent="0.25">
      <c r="A194" s="140" t="s">
        <v>133</v>
      </c>
      <c r="B194" s="1" t="s">
        <v>981</v>
      </c>
      <c r="C194" s="1" t="s">
        <v>130</v>
      </c>
      <c r="D194" s="52" t="s">
        <v>295</v>
      </c>
      <c r="E194" s="4" t="s">
        <v>6</v>
      </c>
      <c r="F194" s="53">
        <v>338.55</v>
      </c>
      <c r="G194" s="53">
        <v>42.96</v>
      </c>
      <c r="H194" s="329">
        <f>F194*G194</f>
        <v>14544.108</v>
      </c>
      <c r="I194" s="180"/>
      <c r="J194" s="204"/>
      <c r="K194" s="204"/>
      <c r="L194" s="204"/>
      <c r="M194" s="204"/>
      <c r="N194" s="204"/>
      <c r="O194" s="204"/>
      <c r="P194" s="231"/>
      <c r="Q194" s="231"/>
    </row>
    <row r="195" spans="1:19" x14ac:dyDescent="0.25">
      <c r="A195" s="140" t="s">
        <v>134</v>
      </c>
      <c r="B195" s="1" t="s">
        <v>981</v>
      </c>
      <c r="C195" s="1" t="s">
        <v>296</v>
      </c>
      <c r="D195" s="52" t="s">
        <v>297</v>
      </c>
      <c r="E195" s="4" t="s">
        <v>6</v>
      </c>
      <c r="F195" s="53">
        <v>234.16</v>
      </c>
      <c r="G195" s="53">
        <v>169.2</v>
      </c>
      <c r="H195" s="329">
        <f>F195*G195</f>
        <v>39619.871999999996</v>
      </c>
      <c r="I195" s="180"/>
      <c r="J195" s="204"/>
      <c r="K195" s="204"/>
      <c r="L195" s="204"/>
      <c r="M195" s="204"/>
      <c r="N195" s="204"/>
      <c r="O195" s="204"/>
      <c r="P195" s="231"/>
      <c r="Q195" s="231"/>
    </row>
    <row r="196" spans="1:19" ht="23.25" x14ac:dyDescent="0.25">
      <c r="A196" s="140" t="s">
        <v>646</v>
      </c>
      <c r="B196" s="1" t="s">
        <v>981</v>
      </c>
      <c r="C196" s="1" t="s">
        <v>57</v>
      </c>
      <c r="D196" s="52" t="s">
        <v>298</v>
      </c>
      <c r="E196" s="4" t="s">
        <v>6</v>
      </c>
      <c r="F196" s="53">
        <v>179.29</v>
      </c>
      <c r="G196" s="53">
        <v>71.67</v>
      </c>
      <c r="H196" s="329">
        <f>F196*G196</f>
        <v>12849.7143</v>
      </c>
      <c r="I196" s="180"/>
      <c r="J196" s="204"/>
      <c r="K196" s="204"/>
      <c r="L196" s="204"/>
      <c r="M196" s="204"/>
      <c r="N196" s="204"/>
      <c r="O196" s="204"/>
      <c r="P196" s="231"/>
      <c r="Q196" s="231"/>
    </row>
    <row r="197" spans="1:19" ht="23.25" x14ac:dyDescent="0.25">
      <c r="A197" s="140" t="s">
        <v>647</v>
      </c>
      <c r="B197" s="1" t="s">
        <v>981</v>
      </c>
      <c r="C197" s="1" t="s">
        <v>59</v>
      </c>
      <c r="D197" s="52" t="s">
        <v>299</v>
      </c>
      <c r="E197" s="4" t="s">
        <v>6</v>
      </c>
      <c r="F197" s="53">
        <v>338.55</v>
      </c>
      <c r="G197" s="53">
        <v>50.34</v>
      </c>
      <c r="H197" s="329">
        <f>F197*G197</f>
        <v>17042.607</v>
      </c>
      <c r="I197" s="180"/>
      <c r="J197" s="204"/>
      <c r="K197" s="204"/>
      <c r="L197" s="204"/>
      <c r="M197" s="204"/>
      <c r="N197" s="204"/>
      <c r="O197" s="204"/>
      <c r="P197" s="231"/>
      <c r="Q197" s="231"/>
    </row>
    <row r="198" spans="1:19" x14ac:dyDescent="0.25">
      <c r="A198" s="351" t="s">
        <v>135</v>
      </c>
      <c r="B198" s="352"/>
      <c r="C198" s="352"/>
      <c r="D198" s="352"/>
      <c r="E198" s="352"/>
      <c r="F198" s="352"/>
      <c r="G198" s="353"/>
      <c r="H198" s="445">
        <f>SUM(H194:H197)</f>
        <v>84056.301300000006</v>
      </c>
      <c r="I198" s="174"/>
      <c r="J198" s="182"/>
      <c r="K198" s="182"/>
      <c r="L198" s="182"/>
      <c r="M198" s="182"/>
      <c r="N198" s="182"/>
      <c r="O198" s="182"/>
      <c r="S198" s="221"/>
    </row>
    <row r="199" spans="1:19" x14ac:dyDescent="0.25">
      <c r="A199" s="359" t="s">
        <v>892</v>
      </c>
      <c r="B199" s="360"/>
      <c r="C199" s="360"/>
      <c r="D199" s="361"/>
      <c r="E199" s="361"/>
      <c r="F199" s="361"/>
      <c r="G199" s="361"/>
      <c r="H199" s="449">
        <f>H198</f>
        <v>84056.301300000006</v>
      </c>
      <c r="I199" s="174"/>
      <c r="J199" s="182"/>
      <c r="K199" s="182"/>
      <c r="L199" s="182"/>
      <c r="M199" s="182"/>
      <c r="N199" s="182"/>
      <c r="O199" s="182"/>
      <c r="S199" s="222"/>
    </row>
    <row r="200" spans="1:19" x14ac:dyDescent="0.25">
      <c r="A200" s="140" t="s">
        <v>137</v>
      </c>
      <c r="B200" s="1"/>
      <c r="C200" s="87"/>
      <c r="D200" s="383" t="s">
        <v>16</v>
      </c>
      <c r="E200" s="384"/>
      <c r="F200" s="384"/>
      <c r="G200" s="384"/>
      <c r="H200" s="385"/>
      <c r="I200" s="174"/>
      <c r="J200" s="182"/>
      <c r="K200" s="182"/>
      <c r="L200" s="182"/>
      <c r="M200" s="182"/>
      <c r="N200" s="182"/>
      <c r="O200" s="182"/>
    </row>
    <row r="201" spans="1:19" x14ac:dyDescent="0.25">
      <c r="A201" s="140" t="s">
        <v>138</v>
      </c>
      <c r="B201" s="1" t="s">
        <v>981</v>
      </c>
      <c r="C201" s="1" t="s">
        <v>60</v>
      </c>
      <c r="D201" s="105" t="s">
        <v>1041</v>
      </c>
      <c r="E201" s="89" t="s">
        <v>8</v>
      </c>
      <c r="F201" s="134">
        <v>34.200000000000003</v>
      </c>
      <c r="G201" s="134">
        <v>131.07</v>
      </c>
      <c r="H201" s="334">
        <f>F201*G201</f>
        <v>4482.5940000000001</v>
      </c>
      <c r="I201" s="174"/>
      <c r="J201" s="182"/>
      <c r="K201" s="182"/>
      <c r="L201" s="182"/>
      <c r="M201" s="182"/>
      <c r="N201" s="182"/>
      <c r="O201" s="182"/>
    </row>
    <row r="202" spans="1:19" ht="23.25" x14ac:dyDescent="0.25">
      <c r="A202" s="140" t="s">
        <v>139</v>
      </c>
      <c r="B202" s="1" t="s">
        <v>981</v>
      </c>
      <c r="C202" s="1" t="s">
        <v>61</v>
      </c>
      <c r="D202" s="52" t="s">
        <v>978</v>
      </c>
      <c r="E202" s="4" t="s">
        <v>8</v>
      </c>
      <c r="F202" s="53">
        <v>342</v>
      </c>
      <c r="G202" s="53">
        <v>18.87</v>
      </c>
      <c r="H202" s="329">
        <f>F202*G202</f>
        <v>6453.54</v>
      </c>
      <c r="I202" s="174"/>
      <c r="J202" s="182"/>
      <c r="K202" s="182"/>
      <c r="L202" s="182"/>
      <c r="M202" s="182"/>
      <c r="N202" s="182"/>
      <c r="O202" s="182"/>
    </row>
    <row r="203" spans="1:19" ht="23.25" x14ac:dyDescent="0.25">
      <c r="A203" s="140" t="s">
        <v>140</v>
      </c>
      <c r="B203" s="1" t="s">
        <v>982</v>
      </c>
      <c r="C203" s="1" t="s">
        <v>1039</v>
      </c>
      <c r="D203" s="52" t="s">
        <v>1038</v>
      </c>
      <c r="E203" s="4" t="s">
        <v>8</v>
      </c>
      <c r="F203" s="53">
        <v>342</v>
      </c>
      <c r="G203" s="53">
        <v>1.42</v>
      </c>
      <c r="H203" s="329">
        <f>F203*G203</f>
        <v>485.64</v>
      </c>
      <c r="I203" s="176"/>
      <c r="J203" s="182"/>
      <c r="K203" s="182"/>
      <c r="L203" s="182"/>
      <c r="M203" s="182"/>
      <c r="N203" s="182"/>
      <c r="O203" s="182"/>
      <c r="R203" s="235"/>
    </row>
    <row r="204" spans="1:19" x14ac:dyDescent="0.25">
      <c r="A204" s="140" t="s">
        <v>1040</v>
      </c>
      <c r="B204" s="1" t="s">
        <v>982</v>
      </c>
      <c r="C204" s="307" t="s">
        <v>1174</v>
      </c>
      <c r="D204" s="52" t="s">
        <v>1042</v>
      </c>
      <c r="E204" s="4" t="s">
        <v>8</v>
      </c>
      <c r="F204" s="53">
        <v>251.4</v>
      </c>
      <c r="G204" s="53">
        <v>156.32</v>
      </c>
      <c r="H204" s="329">
        <f>F204*G204</f>
        <v>39298.847999999998</v>
      </c>
      <c r="I204" s="176"/>
      <c r="J204" s="188"/>
      <c r="K204" s="182"/>
      <c r="L204" s="182"/>
      <c r="M204" s="182"/>
      <c r="N204" s="182"/>
      <c r="O204" s="182"/>
      <c r="R204" s="235"/>
    </row>
    <row r="205" spans="1:19" x14ac:dyDescent="0.25">
      <c r="A205" s="351" t="s">
        <v>141</v>
      </c>
      <c r="B205" s="352"/>
      <c r="C205" s="352"/>
      <c r="D205" s="352"/>
      <c r="E205" s="352"/>
      <c r="F205" s="352"/>
      <c r="G205" s="353"/>
      <c r="H205" s="445">
        <f>SUM(H201:H204)</f>
        <v>50720.621999999996</v>
      </c>
      <c r="I205" s="174"/>
      <c r="J205" s="182"/>
      <c r="K205" s="182"/>
      <c r="L205" s="182"/>
      <c r="M205" s="182"/>
      <c r="N205" s="182"/>
      <c r="O205" s="182"/>
      <c r="S205" s="221"/>
    </row>
    <row r="206" spans="1:19" x14ac:dyDescent="0.25">
      <c r="A206" s="359" t="s">
        <v>893</v>
      </c>
      <c r="B206" s="360"/>
      <c r="C206" s="360"/>
      <c r="D206" s="360"/>
      <c r="E206" s="360"/>
      <c r="F206" s="360"/>
      <c r="G206" s="360"/>
      <c r="H206" s="450">
        <f>H205</f>
        <v>50720.621999999996</v>
      </c>
      <c r="I206" s="174"/>
      <c r="J206" s="182"/>
      <c r="K206" s="182"/>
      <c r="L206" s="182"/>
      <c r="M206" s="182"/>
      <c r="N206" s="182"/>
      <c r="O206" s="182"/>
      <c r="S206" s="222"/>
    </row>
    <row r="207" spans="1:19" x14ac:dyDescent="0.25">
      <c r="A207" s="140" t="s">
        <v>144</v>
      </c>
      <c r="B207" s="1"/>
      <c r="C207" s="1"/>
      <c r="D207" s="348" t="s">
        <v>17</v>
      </c>
      <c r="E207" s="349"/>
      <c r="F207" s="349"/>
      <c r="G207" s="349"/>
      <c r="H207" s="350"/>
      <c r="I207" s="174"/>
      <c r="J207" s="182"/>
      <c r="K207" s="182"/>
      <c r="L207" s="182"/>
      <c r="M207" s="182"/>
      <c r="N207" s="182"/>
      <c r="O207" s="182"/>
    </row>
    <row r="208" spans="1:19" x14ac:dyDescent="0.25">
      <c r="A208" s="140" t="s">
        <v>468</v>
      </c>
      <c r="B208" s="4"/>
      <c r="C208" s="4"/>
      <c r="D208" s="12" t="s">
        <v>128</v>
      </c>
      <c r="E208" s="4"/>
      <c r="F208" s="53"/>
      <c r="G208" s="53"/>
      <c r="H208" s="329"/>
      <c r="I208" s="174"/>
      <c r="J208" s="182"/>
      <c r="K208" s="182"/>
      <c r="L208" s="182"/>
      <c r="M208" s="182"/>
      <c r="N208" s="182"/>
      <c r="O208" s="182"/>
    </row>
    <row r="209" spans="1:19" x14ac:dyDescent="0.25">
      <c r="A209" s="140" t="s">
        <v>469</v>
      </c>
      <c r="B209" s="1" t="s">
        <v>981</v>
      </c>
      <c r="C209" s="1" t="s">
        <v>65</v>
      </c>
      <c r="D209" s="10" t="s">
        <v>64</v>
      </c>
      <c r="E209" s="4" t="s">
        <v>6</v>
      </c>
      <c r="F209" s="53">
        <v>6725.49</v>
      </c>
      <c r="G209" s="53">
        <v>4.8600000000000003</v>
      </c>
      <c r="H209" s="329">
        <f>F209*G209</f>
        <v>32685.881400000002</v>
      </c>
      <c r="I209" s="174"/>
      <c r="J209" s="182"/>
      <c r="K209" s="182"/>
      <c r="L209" s="182"/>
      <c r="M209" s="182"/>
      <c r="N209" s="182"/>
      <c r="O209" s="182"/>
    </row>
    <row r="210" spans="1:19" ht="23.25" x14ac:dyDescent="0.25">
      <c r="A210" s="140" t="s">
        <v>470</v>
      </c>
      <c r="B210" s="1" t="s">
        <v>981</v>
      </c>
      <c r="C210" s="1" t="s">
        <v>63</v>
      </c>
      <c r="D210" s="52" t="s">
        <v>294</v>
      </c>
      <c r="E210" s="4" t="s">
        <v>6</v>
      </c>
      <c r="F210" s="53">
        <v>6725.49</v>
      </c>
      <c r="G210" s="53">
        <v>13.42</v>
      </c>
      <c r="H210" s="329">
        <f>F210*G210</f>
        <v>90256.075799999991</v>
      </c>
      <c r="I210" s="174"/>
      <c r="J210" s="182"/>
      <c r="K210" s="182"/>
      <c r="L210" s="182"/>
      <c r="M210" s="182"/>
      <c r="N210" s="182"/>
      <c r="O210" s="182"/>
    </row>
    <row r="211" spans="1:19" ht="23.25" x14ac:dyDescent="0.25">
      <c r="A211" s="140" t="s">
        <v>471</v>
      </c>
      <c r="B211" s="1" t="s">
        <v>981</v>
      </c>
      <c r="C211" s="1" t="s">
        <v>290</v>
      </c>
      <c r="D211" s="52" t="s">
        <v>289</v>
      </c>
      <c r="E211" s="4" t="s">
        <v>6</v>
      </c>
      <c r="F211" s="53">
        <v>478.01</v>
      </c>
      <c r="G211" s="53">
        <v>28.65</v>
      </c>
      <c r="H211" s="329">
        <f>F211*G211</f>
        <v>13694.986499999999</v>
      </c>
      <c r="I211" s="174"/>
      <c r="J211" s="182"/>
      <c r="K211" s="182"/>
      <c r="L211" s="182"/>
      <c r="M211" s="182"/>
      <c r="N211" s="182"/>
      <c r="O211" s="182"/>
    </row>
    <row r="212" spans="1:19" x14ac:dyDescent="0.25">
      <c r="A212" s="351" t="s">
        <v>914</v>
      </c>
      <c r="B212" s="352"/>
      <c r="C212" s="352"/>
      <c r="D212" s="352"/>
      <c r="E212" s="352"/>
      <c r="F212" s="352"/>
      <c r="G212" s="353"/>
      <c r="H212" s="445">
        <f>SUM(H209:H211)</f>
        <v>136636.9437</v>
      </c>
      <c r="I212" s="174"/>
      <c r="J212" s="182"/>
      <c r="K212" s="182"/>
      <c r="L212" s="182"/>
      <c r="M212" s="182"/>
      <c r="N212" s="182"/>
      <c r="O212" s="182"/>
      <c r="S212" s="221"/>
    </row>
    <row r="213" spans="1:19" x14ac:dyDescent="0.25">
      <c r="A213" s="140" t="s">
        <v>648</v>
      </c>
      <c r="B213" s="4"/>
      <c r="C213" s="4"/>
      <c r="D213" s="12" t="s">
        <v>136</v>
      </c>
      <c r="E213" s="4"/>
      <c r="F213" s="53"/>
      <c r="G213" s="53"/>
      <c r="H213" s="329"/>
      <c r="I213" s="174"/>
      <c r="J213" s="182"/>
      <c r="K213" s="182"/>
      <c r="L213" s="182"/>
      <c r="M213" s="182"/>
      <c r="N213" s="182"/>
      <c r="O213" s="182"/>
    </row>
    <row r="214" spans="1:19" ht="23.25" x14ac:dyDescent="0.25">
      <c r="A214" s="140" t="s">
        <v>649</v>
      </c>
      <c r="B214" s="1" t="s">
        <v>981</v>
      </c>
      <c r="C214" s="1" t="s">
        <v>292</v>
      </c>
      <c r="D214" s="52" t="s">
        <v>293</v>
      </c>
      <c r="E214" s="4" t="s">
        <v>6</v>
      </c>
      <c r="F214" s="53">
        <v>2428.33</v>
      </c>
      <c r="G214" s="53">
        <v>3.8</v>
      </c>
      <c r="H214" s="329">
        <f>F214*G214</f>
        <v>9227.6539999999986</v>
      </c>
      <c r="I214" s="174"/>
      <c r="J214" s="182"/>
      <c r="K214" s="182"/>
      <c r="L214" s="182"/>
      <c r="M214" s="182"/>
      <c r="N214" s="182"/>
      <c r="O214" s="182"/>
    </row>
    <row r="215" spans="1:19" ht="23.25" x14ac:dyDescent="0.25">
      <c r="A215" s="140" t="s">
        <v>650</v>
      </c>
      <c r="B215" s="1" t="s">
        <v>981</v>
      </c>
      <c r="C215" s="1" t="s">
        <v>281</v>
      </c>
      <c r="D215" s="52" t="s">
        <v>294</v>
      </c>
      <c r="E215" s="4" t="s">
        <v>6</v>
      </c>
      <c r="F215" s="53">
        <v>2428.33</v>
      </c>
      <c r="G215" s="53">
        <v>13.42</v>
      </c>
      <c r="H215" s="329">
        <f>F215*G215</f>
        <v>32588.188599999998</v>
      </c>
      <c r="I215" s="174"/>
      <c r="J215" s="182"/>
      <c r="K215" s="182"/>
      <c r="L215" s="182"/>
      <c r="M215" s="182"/>
      <c r="N215" s="182"/>
      <c r="O215" s="182"/>
    </row>
    <row r="216" spans="1:19" x14ac:dyDescent="0.25">
      <c r="A216" s="351" t="s">
        <v>915</v>
      </c>
      <c r="B216" s="352"/>
      <c r="C216" s="352"/>
      <c r="D216" s="352"/>
      <c r="E216" s="352"/>
      <c r="F216" s="352"/>
      <c r="G216" s="353"/>
      <c r="H216" s="445">
        <f>SUM(H214:H215)</f>
        <v>41815.842599999996</v>
      </c>
      <c r="I216" s="174"/>
      <c r="J216" s="182"/>
      <c r="K216" s="182"/>
      <c r="L216" s="182"/>
      <c r="M216" s="182"/>
      <c r="N216" s="182"/>
      <c r="O216" s="182"/>
      <c r="S216" s="221"/>
    </row>
    <row r="217" spans="1:19" x14ac:dyDescent="0.25">
      <c r="A217" s="140" t="s">
        <v>651</v>
      </c>
      <c r="B217" s="4"/>
      <c r="C217" s="4"/>
      <c r="D217" s="12" t="s">
        <v>51</v>
      </c>
      <c r="E217" s="4"/>
      <c r="F217" s="53"/>
      <c r="G217" s="53"/>
      <c r="H217" s="329"/>
      <c r="I217" s="174"/>
      <c r="J217" s="182"/>
      <c r="K217" s="182"/>
      <c r="L217" s="182"/>
      <c r="M217" s="182"/>
      <c r="N217" s="182"/>
      <c r="O217" s="182"/>
    </row>
    <row r="218" spans="1:19" x14ac:dyDescent="0.25">
      <c r="A218" s="140" t="s">
        <v>652</v>
      </c>
      <c r="B218" s="1" t="s">
        <v>981</v>
      </c>
      <c r="C218" s="1" t="s">
        <v>66</v>
      </c>
      <c r="D218" s="10" t="s">
        <v>67</v>
      </c>
      <c r="E218" s="4" t="s">
        <v>6</v>
      </c>
      <c r="F218" s="53">
        <v>2250.19</v>
      </c>
      <c r="G218" s="53">
        <v>6.06</v>
      </c>
      <c r="H218" s="329">
        <f>F218*G218</f>
        <v>13636.151399999999</v>
      </c>
      <c r="I218" s="174"/>
      <c r="J218" s="182"/>
      <c r="K218" s="182"/>
      <c r="L218" s="182"/>
      <c r="M218" s="182"/>
      <c r="N218" s="182"/>
      <c r="O218" s="182"/>
    </row>
    <row r="219" spans="1:19" ht="23.25" x14ac:dyDescent="0.25">
      <c r="A219" s="140" t="s">
        <v>653</v>
      </c>
      <c r="B219" s="1" t="s">
        <v>981</v>
      </c>
      <c r="C219" s="1" t="s">
        <v>284</v>
      </c>
      <c r="D219" s="52" t="s">
        <v>283</v>
      </c>
      <c r="E219" s="4" t="s">
        <v>6</v>
      </c>
      <c r="F219" s="53">
        <v>2250.19</v>
      </c>
      <c r="G219" s="53">
        <v>16.34</v>
      </c>
      <c r="H219" s="329">
        <f>F219*G219</f>
        <v>36768.104599999999</v>
      </c>
      <c r="I219" s="174"/>
      <c r="J219" s="182"/>
      <c r="K219" s="182"/>
      <c r="L219" s="182"/>
      <c r="M219" s="182"/>
      <c r="N219" s="182"/>
      <c r="O219" s="182"/>
    </row>
    <row r="220" spans="1:19" x14ac:dyDescent="0.25">
      <c r="A220" s="351" t="s">
        <v>916</v>
      </c>
      <c r="B220" s="352"/>
      <c r="C220" s="352"/>
      <c r="D220" s="352"/>
      <c r="E220" s="352"/>
      <c r="F220" s="352"/>
      <c r="G220" s="353"/>
      <c r="H220" s="445">
        <f>SUM(H218:H219)</f>
        <v>50404.255999999994</v>
      </c>
      <c r="I220" s="174"/>
      <c r="J220" s="182"/>
      <c r="K220" s="182"/>
      <c r="L220" s="182"/>
      <c r="M220" s="182"/>
      <c r="N220" s="182"/>
      <c r="O220" s="182"/>
      <c r="S220" s="221"/>
    </row>
    <row r="221" spans="1:19" x14ac:dyDescent="0.25">
      <c r="A221" s="140" t="s">
        <v>654</v>
      </c>
      <c r="B221" s="4"/>
      <c r="C221" s="4"/>
      <c r="D221" s="12" t="s">
        <v>62</v>
      </c>
      <c r="E221" s="4"/>
      <c r="F221" s="53"/>
      <c r="G221" s="53"/>
      <c r="H221" s="329"/>
      <c r="I221" s="174"/>
      <c r="J221" s="182"/>
      <c r="K221" s="182"/>
      <c r="L221" s="182"/>
      <c r="M221" s="182"/>
      <c r="N221" s="182"/>
      <c r="O221" s="182"/>
    </row>
    <row r="222" spans="1:19" ht="23.25" x14ac:dyDescent="0.25">
      <c r="A222" s="140" t="s">
        <v>655</v>
      </c>
      <c r="B222" s="1" t="s">
        <v>981</v>
      </c>
      <c r="C222" s="1" t="s">
        <v>301</v>
      </c>
      <c r="D222" s="52" t="s">
        <v>300</v>
      </c>
      <c r="E222" s="4" t="s">
        <v>6</v>
      </c>
      <c r="F222" s="53">
        <v>351.96</v>
      </c>
      <c r="G222" s="53">
        <v>24.38</v>
      </c>
      <c r="H222" s="329">
        <f>F222*G222</f>
        <v>8580.7847999999994</v>
      </c>
      <c r="I222" s="174"/>
      <c r="J222" s="182"/>
      <c r="K222" s="182"/>
      <c r="L222" s="182"/>
      <c r="M222" s="182"/>
      <c r="N222" s="182"/>
      <c r="O222" s="182"/>
    </row>
    <row r="223" spans="1:19" x14ac:dyDescent="0.25">
      <c r="A223" s="351" t="s">
        <v>917</v>
      </c>
      <c r="B223" s="352"/>
      <c r="C223" s="352"/>
      <c r="D223" s="352"/>
      <c r="E223" s="352"/>
      <c r="F223" s="352"/>
      <c r="G223" s="353"/>
      <c r="H223" s="445">
        <f>H222</f>
        <v>8580.7847999999994</v>
      </c>
      <c r="I223" s="174"/>
      <c r="J223" s="182"/>
      <c r="K223" s="182"/>
      <c r="L223" s="182"/>
      <c r="M223" s="182"/>
      <c r="N223" s="182"/>
      <c r="O223" s="182"/>
      <c r="S223" s="221"/>
    </row>
    <row r="224" spans="1:19" x14ac:dyDescent="0.25">
      <c r="A224" s="140" t="s">
        <v>656</v>
      </c>
      <c r="B224" s="4"/>
      <c r="C224" s="4"/>
      <c r="D224" s="12" t="s">
        <v>302</v>
      </c>
      <c r="E224" s="4"/>
      <c r="F224" s="53"/>
      <c r="G224" s="53"/>
      <c r="H224" s="329"/>
      <c r="I224" s="174"/>
      <c r="J224" s="182"/>
      <c r="K224" s="182"/>
      <c r="L224" s="182"/>
      <c r="M224" s="182"/>
      <c r="N224" s="182"/>
      <c r="O224" s="182"/>
    </row>
    <row r="225" spans="1:19" ht="23.25" x14ac:dyDescent="0.25">
      <c r="A225" s="140" t="s">
        <v>657</v>
      </c>
      <c r="B225" s="1" t="s">
        <v>981</v>
      </c>
      <c r="C225" s="1" t="s">
        <v>306</v>
      </c>
      <c r="D225" s="52" t="s">
        <v>305</v>
      </c>
      <c r="E225" s="4" t="s">
        <v>6</v>
      </c>
      <c r="F225" s="53">
        <v>35.119999999999997</v>
      </c>
      <c r="G225" s="53">
        <v>12.7</v>
      </c>
      <c r="H225" s="329">
        <f>F225*G225</f>
        <v>446.02399999999994</v>
      </c>
      <c r="I225" s="174"/>
      <c r="J225" s="182"/>
      <c r="K225" s="182"/>
      <c r="L225" s="182"/>
      <c r="M225" s="182"/>
      <c r="N225" s="182"/>
      <c r="O225" s="182"/>
      <c r="S225" s="177"/>
    </row>
    <row r="226" spans="1:19" ht="23.25" x14ac:dyDescent="0.25">
      <c r="A226" s="140" t="s">
        <v>658</v>
      </c>
      <c r="B226" s="1" t="s">
        <v>981</v>
      </c>
      <c r="C226" s="1" t="s">
        <v>304</v>
      </c>
      <c r="D226" s="52" t="s">
        <v>303</v>
      </c>
      <c r="E226" s="4" t="s">
        <v>6</v>
      </c>
      <c r="F226" s="53">
        <v>35.119999999999997</v>
      </c>
      <c r="G226" s="53">
        <v>18.3</v>
      </c>
      <c r="H226" s="329">
        <f>F226*G226</f>
        <v>642.69600000000003</v>
      </c>
      <c r="I226" s="174"/>
      <c r="J226" s="182"/>
      <c r="K226" s="182"/>
      <c r="L226" s="182"/>
      <c r="M226" s="182"/>
      <c r="N226" s="182"/>
      <c r="O226" s="182"/>
      <c r="S226" s="177"/>
    </row>
    <row r="227" spans="1:19" x14ac:dyDescent="0.25">
      <c r="A227" s="351" t="s">
        <v>918</v>
      </c>
      <c r="B227" s="352"/>
      <c r="C227" s="352"/>
      <c r="D227" s="352"/>
      <c r="E227" s="352"/>
      <c r="F227" s="352"/>
      <c r="G227" s="353"/>
      <c r="H227" s="445">
        <f>SUM(H225:H226)</f>
        <v>1088.72</v>
      </c>
      <c r="I227" s="174"/>
      <c r="J227" s="182"/>
      <c r="K227" s="182"/>
      <c r="L227" s="182"/>
      <c r="M227" s="182"/>
      <c r="N227" s="182"/>
      <c r="O227" s="182"/>
      <c r="S227" s="221"/>
    </row>
    <row r="228" spans="1:19" x14ac:dyDescent="0.25">
      <c r="A228" s="359" t="s">
        <v>894</v>
      </c>
      <c r="B228" s="360"/>
      <c r="C228" s="360"/>
      <c r="D228" s="361"/>
      <c r="E228" s="361"/>
      <c r="F228" s="361"/>
      <c r="G228" s="361"/>
      <c r="H228" s="449">
        <f>H212+H216+H220+H223+H227</f>
        <v>238526.5471</v>
      </c>
      <c r="I228" s="174"/>
      <c r="J228" s="182"/>
      <c r="K228" s="182"/>
      <c r="L228" s="182"/>
      <c r="M228" s="182"/>
      <c r="N228" s="182"/>
      <c r="O228" s="182"/>
      <c r="S228" s="222"/>
    </row>
    <row r="229" spans="1:19" x14ac:dyDescent="0.25">
      <c r="A229" s="141" t="s">
        <v>149</v>
      </c>
      <c r="B229" s="15"/>
      <c r="C229" s="106"/>
      <c r="D229" s="103" t="s">
        <v>69</v>
      </c>
      <c r="E229" s="269"/>
      <c r="F229" s="161"/>
      <c r="G229" s="112"/>
      <c r="H229" s="443"/>
      <c r="I229" s="174"/>
      <c r="J229" s="182"/>
      <c r="K229" s="182"/>
      <c r="L229" s="182"/>
      <c r="M229" s="182"/>
      <c r="N229" s="182"/>
      <c r="O229" s="182"/>
    </row>
    <row r="230" spans="1:19" x14ac:dyDescent="0.25">
      <c r="A230" s="141" t="s">
        <v>150</v>
      </c>
      <c r="B230" s="15"/>
      <c r="C230" s="15"/>
      <c r="D230" s="102" t="s">
        <v>19</v>
      </c>
      <c r="E230" s="277"/>
      <c r="F230" s="134"/>
      <c r="G230" s="111"/>
      <c r="H230" s="323"/>
      <c r="I230" s="174"/>
      <c r="J230" s="182"/>
      <c r="K230" s="182"/>
      <c r="L230" s="182"/>
      <c r="M230" s="182"/>
      <c r="N230" s="182"/>
      <c r="O230" s="182"/>
    </row>
    <row r="231" spans="1:19" ht="23.25" x14ac:dyDescent="0.25">
      <c r="A231" s="141" t="s">
        <v>151</v>
      </c>
      <c r="B231" s="15" t="s">
        <v>981</v>
      </c>
      <c r="C231" s="15">
        <v>94648</v>
      </c>
      <c r="D231" s="264" t="s">
        <v>307</v>
      </c>
      <c r="E231" s="11" t="s">
        <v>8</v>
      </c>
      <c r="F231" s="53">
        <v>651.32000000000005</v>
      </c>
      <c r="G231" s="13">
        <v>13.05</v>
      </c>
      <c r="H231" s="322">
        <f t="shared" ref="H231:H276" si="10">G231*F231</f>
        <v>8499.7260000000006</v>
      </c>
      <c r="I231" s="174"/>
      <c r="J231" s="188"/>
      <c r="K231" s="182"/>
      <c r="L231" s="182"/>
      <c r="M231" s="182"/>
      <c r="N231" s="182"/>
      <c r="O231" s="182"/>
    </row>
    <row r="232" spans="1:19" ht="23.25" x14ac:dyDescent="0.25">
      <c r="A232" s="141" t="s">
        <v>463</v>
      </c>
      <c r="B232" s="15" t="s">
        <v>981</v>
      </c>
      <c r="C232" s="15">
        <v>94649</v>
      </c>
      <c r="D232" s="264" t="s">
        <v>308</v>
      </c>
      <c r="E232" s="11" t="s">
        <v>8</v>
      </c>
      <c r="F232" s="53">
        <v>210.09</v>
      </c>
      <c r="G232" s="13">
        <v>18.32</v>
      </c>
      <c r="H232" s="322">
        <f t="shared" si="10"/>
        <v>3848.8488000000002</v>
      </c>
      <c r="I232" s="174"/>
      <c r="J232" s="182"/>
      <c r="K232" s="182"/>
      <c r="L232" s="182"/>
      <c r="M232" s="182"/>
      <c r="N232" s="182"/>
      <c r="O232" s="182"/>
    </row>
    <row r="233" spans="1:19" ht="23.25" x14ac:dyDescent="0.25">
      <c r="A233" s="141" t="s">
        <v>464</v>
      </c>
      <c r="B233" s="15" t="s">
        <v>981</v>
      </c>
      <c r="C233" s="15">
        <v>94650</v>
      </c>
      <c r="D233" s="264" t="s">
        <v>309</v>
      </c>
      <c r="E233" s="11" t="s">
        <v>8</v>
      </c>
      <c r="F233" s="53">
        <v>12.66</v>
      </c>
      <c r="G233" s="13">
        <v>27.29</v>
      </c>
      <c r="H233" s="322">
        <f t="shared" si="10"/>
        <v>345.4914</v>
      </c>
      <c r="I233" s="174"/>
      <c r="J233" s="182"/>
      <c r="K233" s="182"/>
      <c r="L233" s="182"/>
      <c r="M233" s="182"/>
      <c r="N233" s="182"/>
      <c r="O233" s="182"/>
    </row>
    <row r="234" spans="1:19" ht="23.25" x14ac:dyDescent="0.25">
      <c r="A234" s="141" t="s">
        <v>465</v>
      </c>
      <c r="B234" s="15" t="s">
        <v>981</v>
      </c>
      <c r="C234" s="15">
        <v>94651</v>
      </c>
      <c r="D234" s="264" t="s">
        <v>310</v>
      </c>
      <c r="E234" s="11" t="s">
        <v>8</v>
      </c>
      <c r="F234" s="53">
        <v>4.8099999999999996</v>
      </c>
      <c r="G234" s="13">
        <v>28.77</v>
      </c>
      <c r="H234" s="322">
        <f t="shared" si="10"/>
        <v>138.38369999999998</v>
      </c>
      <c r="I234" s="174"/>
      <c r="J234" s="182"/>
      <c r="K234" s="182"/>
      <c r="L234" s="182"/>
      <c r="M234" s="182"/>
      <c r="N234" s="182"/>
      <c r="O234" s="182"/>
    </row>
    <row r="235" spans="1:19" ht="23.25" x14ac:dyDescent="0.25">
      <c r="A235" s="141" t="s">
        <v>466</v>
      </c>
      <c r="B235" s="15" t="s">
        <v>981</v>
      </c>
      <c r="C235" s="15">
        <v>94652</v>
      </c>
      <c r="D235" s="264" t="s">
        <v>314</v>
      </c>
      <c r="E235" s="11" t="s">
        <v>8</v>
      </c>
      <c r="F235" s="53">
        <v>2.34</v>
      </c>
      <c r="G235" s="13">
        <v>46.14</v>
      </c>
      <c r="H235" s="322">
        <f t="shared" si="10"/>
        <v>107.96759999999999</v>
      </c>
      <c r="I235" s="174"/>
      <c r="J235" s="182"/>
      <c r="K235" s="182"/>
      <c r="L235" s="182"/>
      <c r="M235" s="182"/>
      <c r="N235" s="182"/>
      <c r="O235" s="182"/>
    </row>
    <row r="236" spans="1:19" ht="24.95" customHeight="1" x14ac:dyDescent="0.25">
      <c r="A236" s="141" t="s">
        <v>467</v>
      </c>
      <c r="B236" s="15" t="s">
        <v>981</v>
      </c>
      <c r="C236" s="15">
        <v>92364</v>
      </c>
      <c r="D236" s="47" t="s">
        <v>311</v>
      </c>
      <c r="E236" s="11" t="s">
        <v>8</v>
      </c>
      <c r="F236" s="53">
        <v>5.0199999999999996</v>
      </c>
      <c r="G236" s="13">
        <v>61.67</v>
      </c>
      <c r="H236" s="322">
        <f t="shared" si="10"/>
        <v>309.58339999999998</v>
      </c>
      <c r="I236" s="180"/>
      <c r="J236" s="204"/>
      <c r="K236" s="204"/>
      <c r="L236" s="204"/>
      <c r="M236" s="204"/>
      <c r="N236" s="204"/>
      <c r="O236" s="204"/>
      <c r="P236" s="231"/>
      <c r="Q236" s="231"/>
      <c r="R236" s="223"/>
    </row>
    <row r="237" spans="1:19" ht="24.95" customHeight="1" x14ac:dyDescent="0.25">
      <c r="A237" s="141" t="s">
        <v>684</v>
      </c>
      <c r="B237" s="15" t="s">
        <v>981</v>
      </c>
      <c r="C237" s="15">
        <v>92365</v>
      </c>
      <c r="D237" s="47" t="s">
        <v>312</v>
      </c>
      <c r="E237" s="11" t="s">
        <v>8</v>
      </c>
      <c r="F237" s="53">
        <v>3.45</v>
      </c>
      <c r="G237" s="13">
        <v>70.819999999999993</v>
      </c>
      <c r="H237" s="322">
        <f t="shared" si="10"/>
        <v>244.32899999999998</v>
      </c>
      <c r="I237" s="180"/>
      <c r="J237" s="204"/>
      <c r="K237" s="204"/>
      <c r="L237" s="204"/>
      <c r="M237" s="204"/>
      <c r="N237" s="204"/>
      <c r="O237" s="204"/>
      <c r="P237" s="231"/>
      <c r="Q237" s="231"/>
      <c r="R237" s="223"/>
    </row>
    <row r="238" spans="1:19" ht="23.25" x14ac:dyDescent="0.25">
      <c r="A238" s="141" t="s">
        <v>685</v>
      </c>
      <c r="B238" s="15" t="s">
        <v>981</v>
      </c>
      <c r="C238" s="15">
        <v>92341</v>
      </c>
      <c r="D238" s="264" t="s">
        <v>313</v>
      </c>
      <c r="E238" s="11" t="s">
        <v>8</v>
      </c>
      <c r="F238" s="53">
        <v>8.11</v>
      </c>
      <c r="G238" s="13">
        <v>144.85</v>
      </c>
      <c r="H238" s="322">
        <f t="shared" si="10"/>
        <v>1174.7334999999998</v>
      </c>
      <c r="I238" s="174"/>
      <c r="J238" s="182"/>
      <c r="K238" s="182"/>
      <c r="L238" s="182"/>
      <c r="M238" s="182"/>
      <c r="N238" s="182"/>
      <c r="O238" s="182"/>
    </row>
    <row r="239" spans="1:19" x14ac:dyDescent="0.25">
      <c r="A239" s="141" t="s">
        <v>686</v>
      </c>
      <c r="B239" s="15" t="s">
        <v>981</v>
      </c>
      <c r="C239" s="1" t="s">
        <v>1186</v>
      </c>
      <c r="D239" s="264" t="s">
        <v>315</v>
      </c>
      <c r="E239" s="11" t="s">
        <v>12</v>
      </c>
      <c r="F239" s="53">
        <v>6</v>
      </c>
      <c r="G239" s="13">
        <v>46.12</v>
      </c>
      <c r="H239" s="322">
        <f t="shared" si="10"/>
        <v>276.71999999999997</v>
      </c>
      <c r="I239" s="174"/>
      <c r="J239" s="182"/>
      <c r="K239" s="182"/>
      <c r="L239" s="182"/>
      <c r="M239" s="182"/>
      <c r="N239" s="182"/>
      <c r="O239" s="182"/>
    </row>
    <row r="240" spans="1:19" x14ac:dyDescent="0.25">
      <c r="A240" s="141" t="s">
        <v>687</v>
      </c>
      <c r="B240" s="15" t="s">
        <v>981</v>
      </c>
      <c r="C240" s="1" t="s">
        <v>1237</v>
      </c>
      <c r="D240" s="264" t="s">
        <v>316</v>
      </c>
      <c r="E240" s="11" t="s">
        <v>12</v>
      </c>
      <c r="F240" s="53">
        <v>5</v>
      </c>
      <c r="G240" s="13">
        <v>57.5</v>
      </c>
      <c r="H240" s="322">
        <f t="shared" si="10"/>
        <v>287.5</v>
      </c>
      <c r="I240" s="174"/>
      <c r="J240" s="182"/>
      <c r="K240" s="182"/>
      <c r="L240" s="182"/>
      <c r="M240" s="182"/>
      <c r="N240" s="182"/>
      <c r="O240" s="182"/>
    </row>
    <row r="241" spans="1:18" x14ac:dyDescent="0.25">
      <c r="A241" s="141" t="s">
        <v>688</v>
      </c>
      <c r="B241" s="15" t="s">
        <v>981</v>
      </c>
      <c r="C241" s="1" t="s">
        <v>1187</v>
      </c>
      <c r="D241" s="264" t="s">
        <v>317</v>
      </c>
      <c r="E241" s="11" t="s">
        <v>12</v>
      </c>
      <c r="F241" s="53">
        <v>4</v>
      </c>
      <c r="G241" s="13">
        <v>89.67</v>
      </c>
      <c r="H241" s="322">
        <f t="shared" si="10"/>
        <v>358.68</v>
      </c>
      <c r="I241" s="174"/>
      <c r="J241" s="182"/>
      <c r="K241" s="182"/>
      <c r="L241" s="182"/>
      <c r="M241" s="182"/>
      <c r="N241" s="182"/>
      <c r="O241" s="182"/>
    </row>
    <row r="242" spans="1:18" x14ac:dyDescent="0.25">
      <c r="A242" s="141" t="s">
        <v>689</v>
      </c>
      <c r="B242" s="15" t="s">
        <v>981</v>
      </c>
      <c r="C242" s="15">
        <v>92637</v>
      </c>
      <c r="D242" s="264" t="s">
        <v>318</v>
      </c>
      <c r="E242" s="11" t="s">
        <v>12</v>
      </c>
      <c r="F242" s="53">
        <v>1</v>
      </c>
      <c r="G242" s="13">
        <v>86.75</v>
      </c>
      <c r="H242" s="322">
        <f t="shared" si="10"/>
        <v>86.75</v>
      </c>
      <c r="I242" s="174"/>
      <c r="J242" s="182"/>
      <c r="K242" s="182"/>
      <c r="L242" s="182"/>
      <c r="M242" s="182"/>
      <c r="N242" s="182"/>
      <c r="O242" s="182"/>
    </row>
    <row r="243" spans="1:18" x14ac:dyDescent="0.25">
      <c r="A243" s="141" t="s">
        <v>690</v>
      </c>
      <c r="B243" s="15" t="s">
        <v>981</v>
      </c>
      <c r="C243" s="15">
        <v>92638</v>
      </c>
      <c r="D243" s="264" t="s">
        <v>319</v>
      </c>
      <c r="E243" s="11" t="s">
        <v>12</v>
      </c>
      <c r="F243" s="53">
        <v>1</v>
      </c>
      <c r="G243" s="13">
        <v>104.84</v>
      </c>
      <c r="H243" s="322">
        <f t="shared" si="10"/>
        <v>104.84</v>
      </c>
      <c r="I243" s="174"/>
      <c r="J243" s="182"/>
      <c r="K243" s="182"/>
      <c r="L243" s="182"/>
      <c r="M243" s="182"/>
      <c r="N243" s="182"/>
      <c r="O243" s="182"/>
    </row>
    <row r="244" spans="1:18" x14ac:dyDescent="0.25">
      <c r="A244" s="141" t="s">
        <v>691</v>
      </c>
      <c r="B244" s="15" t="s">
        <v>981</v>
      </c>
      <c r="C244" s="15">
        <v>92640</v>
      </c>
      <c r="D244" s="264" t="s">
        <v>320</v>
      </c>
      <c r="E244" s="11" t="s">
        <v>12</v>
      </c>
      <c r="F244" s="53">
        <v>1</v>
      </c>
      <c r="G244" s="13">
        <v>155.53</v>
      </c>
      <c r="H244" s="322">
        <f t="shared" si="10"/>
        <v>155.53</v>
      </c>
      <c r="I244" s="174"/>
      <c r="J244" s="182"/>
      <c r="K244" s="182"/>
      <c r="L244" s="182"/>
      <c r="M244" s="182"/>
      <c r="N244" s="182"/>
      <c r="O244" s="182"/>
    </row>
    <row r="245" spans="1:18" ht="23.25" x14ac:dyDescent="0.25">
      <c r="A245" s="141" t="s">
        <v>692</v>
      </c>
      <c r="B245" s="15" t="s">
        <v>981</v>
      </c>
      <c r="C245" s="15">
        <v>89391</v>
      </c>
      <c r="D245" s="264" t="s">
        <v>321</v>
      </c>
      <c r="E245" s="11" t="s">
        <v>12</v>
      </c>
      <c r="F245" s="53">
        <v>3</v>
      </c>
      <c r="G245" s="13">
        <v>10.15</v>
      </c>
      <c r="H245" s="322">
        <f t="shared" si="10"/>
        <v>30.450000000000003</v>
      </c>
      <c r="I245" s="174"/>
      <c r="J245" s="182"/>
      <c r="K245" s="182"/>
      <c r="L245" s="182"/>
      <c r="M245" s="182"/>
      <c r="N245" s="182"/>
      <c r="O245" s="182"/>
    </row>
    <row r="246" spans="1:18" ht="23.25" x14ac:dyDescent="0.25">
      <c r="A246" s="141" t="s">
        <v>693</v>
      </c>
      <c r="B246" s="15" t="s">
        <v>981</v>
      </c>
      <c r="C246" s="15">
        <v>89610</v>
      </c>
      <c r="D246" s="264" t="s">
        <v>322</v>
      </c>
      <c r="E246" s="11" t="s">
        <v>12</v>
      </c>
      <c r="F246" s="53">
        <v>3</v>
      </c>
      <c r="G246" s="13">
        <v>20.440000000000001</v>
      </c>
      <c r="H246" s="322">
        <f t="shared" si="10"/>
        <v>61.320000000000007</v>
      </c>
      <c r="I246" s="174"/>
      <c r="J246" s="182"/>
      <c r="K246" s="182"/>
      <c r="L246" s="182"/>
      <c r="M246" s="182"/>
      <c r="N246" s="182"/>
      <c r="O246" s="182"/>
    </row>
    <row r="247" spans="1:18" ht="23.25" x14ac:dyDescent="0.25">
      <c r="A247" s="141" t="s">
        <v>694</v>
      </c>
      <c r="B247" s="15" t="s">
        <v>981</v>
      </c>
      <c r="C247" s="15">
        <v>89383</v>
      </c>
      <c r="D247" s="264" t="s">
        <v>323</v>
      </c>
      <c r="E247" s="11" t="s">
        <v>12</v>
      </c>
      <c r="F247" s="53">
        <v>64</v>
      </c>
      <c r="G247" s="13">
        <v>7.83</v>
      </c>
      <c r="H247" s="322">
        <f t="shared" si="10"/>
        <v>501.12</v>
      </c>
      <c r="I247" s="174"/>
      <c r="J247" s="182"/>
      <c r="K247" s="182"/>
      <c r="L247" s="182"/>
      <c r="M247" s="182"/>
      <c r="N247" s="182"/>
      <c r="O247" s="182"/>
    </row>
    <row r="248" spans="1:18" ht="23.25" x14ac:dyDescent="0.25">
      <c r="A248" s="141" t="s">
        <v>695</v>
      </c>
      <c r="B248" s="15" t="s">
        <v>981</v>
      </c>
      <c r="C248" s="145">
        <v>94660</v>
      </c>
      <c r="D248" s="264" t="s">
        <v>333</v>
      </c>
      <c r="E248" s="11" t="s">
        <v>12</v>
      </c>
      <c r="F248" s="53">
        <v>4</v>
      </c>
      <c r="G248" s="300">
        <v>13.69</v>
      </c>
      <c r="H248" s="322">
        <f t="shared" si="10"/>
        <v>54.76</v>
      </c>
      <c r="I248" s="175"/>
      <c r="J248" s="182"/>
      <c r="K248" s="182"/>
      <c r="L248" s="182"/>
      <c r="M248" s="182"/>
      <c r="N248" s="182"/>
      <c r="O248" s="182"/>
    </row>
    <row r="249" spans="1:18" ht="23.25" x14ac:dyDescent="0.25">
      <c r="A249" s="141" t="s">
        <v>696</v>
      </c>
      <c r="B249" s="15" t="s">
        <v>981</v>
      </c>
      <c r="C249" s="145">
        <v>94662</v>
      </c>
      <c r="D249" s="264" t="s">
        <v>334</v>
      </c>
      <c r="E249" s="11" t="s">
        <v>12</v>
      </c>
      <c r="F249" s="53">
        <v>4</v>
      </c>
      <c r="G249" s="301">
        <v>14.48</v>
      </c>
      <c r="H249" s="322">
        <f t="shared" si="10"/>
        <v>57.92</v>
      </c>
      <c r="I249" s="175"/>
      <c r="J249" s="182"/>
      <c r="K249" s="182"/>
      <c r="L249" s="182"/>
      <c r="M249" s="182"/>
      <c r="N249" s="182"/>
      <c r="O249" s="182"/>
    </row>
    <row r="250" spans="1:18" ht="34.5" x14ac:dyDescent="0.25">
      <c r="A250" s="141" t="s">
        <v>697</v>
      </c>
      <c r="B250" s="15" t="s">
        <v>981</v>
      </c>
      <c r="C250" s="15">
        <v>94675</v>
      </c>
      <c r="D250" s="264" t="s">
        <v>326</v>
      </c>
      <c r="E250" s="11" t="s">
        <v>12</v>
      </c>
      <c r="F250" s="53">
        <v>3</v>
      </c>
      <c r="G250" s="13">
        <v>15.88</v>
      </c>
      <c r="H250" s="322">
        <f t="shared" si="10"/>
        <v>47.64</v>
      </c>
      <c r="I250" s="180"/>
      <c r="J250" s="204"/>
      <c r="K250" s="204"/>
      <c r="L250" s="204"/>
      <c r="M250" s="204"/>
      <c r="N250" s="204"/>
      <c r="O250" s="204"/>
      <c r="P250" s="231"/>
      <c r="Q250" s="231"/>
      <c r="R250" s="223"/>
    </row>
    <row r="251" spans="1:18" ht="34.5" x14ac:dyDescent="0.25">
      <c r="A251" s="141" t="s">
        <v>698</v>
      </c>
      <c r="B251" s="15" t="s">
        <v>981</v>
      </c>
      <c r="C251" s="15">
        <v>94677</v>
      </c>
      <c r="D251" s="264" t="s">
        <v>327</v>
      </c>
      <c r="E251" s="11" t="s">
        <v>12</v>
      </c>
      <c r="F251" s="53">
        <v>1</v>
      </c>
      <c r="G251" s="13">
        <v>26.09</v>
      </c>
      <c r="H251" s="322">
        <f t="shared" si="10"/>
        <v>26.09</v>
      </c>
      <c r="I251" s="180"/>
      <c r="J251" s="204"/>
      <c r="K251" s="204"/>
      <c r="L251" s="204"/>
      <c r="M251" s="204"/>
      <c r="N251" s="204"/>
      <c r="O251" s="204"/>
      <c r="P251" s="231"/>
      <c r="Q251" s="231"/>
      <c r="R251" s="223"/>
    </row>
    <row r="252" spans="1:18" x14ac:dyDescent="0.25">
      <c r="A252" s="141" t="s">
        <v>699</v>
      </c>
      <c r="B252" s="15" t="s">
        <v>981</v>
      </c>
      <c r="C252" s="15">
        <v>103958</v>
      </c>
      <c r="D252" s="260" t="s">
        <v>324</v>
      </c>
      <c r="E252" s="11" t="s">
        <v>12</v>
      </c>
      <c r="F252" s="53">
        <v>1</v>
      </c>
      <c r="G252" s="13">
        <v>10.76</v>
      </c>
      <c r="H252" s="322">
        <f t="shared" si="10"/>
        <v>10.76</v>
      </c>
      <c r="I252" s="182"/>
      <c r="J252" s="182"/>
      <c r="K252" s="182"/>
      <c r="L252" s="182"/>
      <c r="M252" s="182"/>
      <c r="N252" s="182"/>
      <c r="O252" s="182"/>
    </row>
    <row r="253" spans="1:18" x14ac:dyDescent="0.25">
      <c r="A253" s="141" t="s">
        <v>700</v>
      </c>
      <c r="B253" s="15" t="s">
        <v>981</v>
      </c>
      <c r="C253" s="15">
        <v>103972</v>
      </c>
      <c r="D253" s="260" t="s">
        <v>325</v>
      </c>
      <c r="E253" s="11" t="s">
        <v>12</v>
      </c>
      <c r="F253" s="53">
        <v>1</v>
      </c>
      <c r="G253" s="13">
        <v>30.04</v>
      </c>
      <c r="H253" s="322">
        <f t="shared" si="10"/>
        <v>30.04</v>
      </c>
      <c r="I253" s="182"/>
      <c r="J253" s="182"/>
      <c r="K253" s="182"/>
      <c r="L253" s="182"/>
      <c r="M253" s="182"/>
      <c r="N253" s="182"/>
      <c r="O253" s="182"/>
    </row>
    <row r="254" spans="1:18" x14ac:dyDescent="0.25">
      <c r="A254" s="141" t="s">
        <v>701</v>
      </c>
      <c r="B254" s="15" t="s">
        <v>981</v>
      </c>
      <c r="C254" s="146">
        <v>103953</v>
      </c>
      <c r="D254" s="264" t="s">
        <v>340</v>
      </c>
      <c r="E254" s="11" t="s">
        <v>12</v>
      </c>
      <c r="F254" s="53">
        <v>9</v>
      </c>
      <c r="G254" s="13">
        <v>8.51</v>
      </c>
      <c r="H254" s="322">
        <f t="shared" si="10"/>
        <v>76.59</v>
      </c>
      <c r="I254" s="182"/>
      <c r="J254" s="182"/>
      <c r="K254" s="182"/>
      <c r="L254" s="182"/>
      <c r="M254" s="182"/>
      <c r="N254" s="182"/>
      <c r="O254" s="182"/>
    </row>
    <row r="255" spans="1:18" x14ac:dyDescent="0.25">
      <c r="A255" s="141" t="s">
        <v>702</v>
      </c>
      <c r="B255" s="15" t="s">
        <v>981</v>
      </c>
      <c r="C255" s="15">
        <v>103977</v>
      </c>
      <c r="D255" s="264" t="s">
        <v>341</v>
      </c>
      <c r="E255" s="11" t="s">
        <v>12</v>
      </c>
      <c r="F255" s="53">
        <v>8</v>
      </c>
      <c r="G255" s="13">
        <v>7.72</v>
      </c>
      <c r="H255" s="322">
        <f t="shared" si="10"/>
        <v>61.76</v>
      </c>
      <c r="I255" s="174"/>
      <c r="J255" s="182"/>
      <c r="K255" s="182"/>
      <c r="L255" s="182"/>
      <c r="M255" s="182"/>
      <c r="N255" s="182"/>
      <c r="O255" s="182"/>
    </row>
    <row r="256" spans="1:18" ht="23.25" x14ac:dyDescent="0.25">
      <c r="A256" s="141" t="s">
        <v>703</v>
      </c>
      <c r="B256" s="15" t="s">
        <v>981</v>
      </c>
      <c r="C256" s="15">
        <v>89363</v>
      </c>
      <c r="D256" s="264" t="s">
        <v>338</v>
      </c>
      <c r="E256" s="11" t="s">
        <v>12</v>
      </c>
      <c r="F256" s="53">
        <v>7</v>
      </c>
      <c r="G256" s="13">
        <v>12.31</v>
      </c>
      <c r="H256" s="322">
        <f t="shared" si="10"/>
        <v>86.17</v>
      </c>
      <c r="I256" s="174"/>
      <c r="J256" s="182"/>
      <c r="K256" s="182"/>
      <c r="L256" s="182"/>
      <c r="M256" s="182"/>
      <c r="N256" s="182"/>
      <c r="O256" s="182"/>
    </row>
    <row r="257" spans="1:15" ht="23.25" x14ac:dyDescent="0.25">
      <c r="A257" s="141" t="s">
        <v>704</v>
      </c>
      <c r="B257" s="15" t="s">
        <v>981</v>
      </c>
      <c r="C257" s="15">
        <v>89362</v>
      </c>
      <c r="D257" s="264" t="s">
        <v>337</v>
      </c>
      <c r="E257" s="11" t="s">
        <v>12</v>
      </c>
      <c r="F257" s="53">
        <v>144</v>
      </c>
      <c r="G257" s="13">
        <v>11.49</v>
      </c>
      <c r="H257" s="322">
        <f t="shared" si="10"/>
        <v>1654.56</v>
      </c>
      <c r="I257" s="174"/>
      <c r="J257" s="182"/>
      <c r="K257" s="182"/>
      <c r="L257" s="182"/>
      <c r="M257" s="182"/>
      <c r="N257" s="182"/>
      <c r="O257" s="182"/>
    </row>
    <row r="258" spans="1:15" ht="23.25" x14ac:dyDescent="0.25">
      <c r="A258" s="141" t="s">
        <v>705</v>
      </c>
      <c r="B258" s="15" t="s">
        <v>981</v>
      </c>
      <c r="C258" s="15">
        <v>89367</v>
      </c>
      <c r="D258" s="264" t="s">
        <v>339</v>
      </c>
      <c r="E258" s="11" t="s">
        <v>12</v>
      </c>
      <c r="F258" s="53">
        <v>10</v>
      </c>
      <c r="G258" s="13">
        <v>15.49</v>
      </c>
      <c r="H258" s="322">
        <f t="shared" si="10"/>
        <v>154.9</v>
      </c>
      <c r="I258" s="174"/>
      <c r="J258" s="182"/>
      <c r="K258" s="182"/>
      <c r="L258" s="182"/>
      <c r="M258" s="182"/>
      <c r="N258" s="182"/>
      <c r="O258" s="182"/>
    </row>
    <row r="259" spans="1:15" ht="23.25" x14ac:dyDescent="0.25">
      <c r="A259" s="141" t="s">
        <v>706</v>
      </c>
      <c r="B259" s="15" t="s">
        <v>981</v>
      </c>
      <c r="C259" s="15">
        <v>90373</v>
      </c>
      <c r="D259" s="264" t="s">
        <v>336</v>
      </c>
      <c r="E259" s="11" t="s">
        <v>12</v>
      </c>
      <c r="F259" s="53">
        <v>75</v>
      </c>
      <c r="G259" s="13">
        <v>14.88</v>
      </c>
      <c r="H259" s="322">
        <f t="shared" si="10"/>
        <v>1116</v>
      </c>
      <c r="I259" s="174"/>
      <c r="J259" s="182"/>
      <c r="K259" s="182"/>
      <c r="L259" s="182"/>
      <c r="M259" s="182"/>
      <c r="N259" s="182"/>
      <c r="O259" s="182"/>
    </row>
    <row r="260" spans="1:15" ht="23.25" x14ac:dyDescent="0.25">
      <c r="A260" s="141" t="s">
        <v>707</v>
      </c>
      <c r="B260" s="15" t="s">
        <v>981</v>
      </c>
      <c r="C260" s="15">
        <v>89381</v>
      </c>
      <c r="D260" s="264" t="s">
        <v>335</v>
      </c>
      <c r="E260" s="11" t="s">
        <v>12</v>
      </c>
      <c r="F260" s="53">
        <v>8</v>
      </c>
      <c r="G260" s="13">
        <v>13.79</v>
      </c>
      <c r="H260" s="322">
        <f t="shared" si="10"/>
        <v>110.32</v>
      </c>
      <c r="I260" s="174"/>
      <c r="J260" s="182"/>
      <c r="K260" s="182"/>
      <c r="L260" s="182"/>
      <c r="M260" s="182"/>
      <c r="N260" s="182"/>
      <c r="O260" s="182"/>
    </row>
    <row r="261" spans="1:15" ht="23.25" x14ac:dyDescent="0.25">
      <c r="A261" s="141" t="s">
        <v>708</v>
      </c>
      <c r="B261" s="15" t="s">
        <v>981</v>
      </c>
      <c r="C261" s="15">
        <v>94688</v>
      </c>
      <c r="D261" s="264" t="s">
        <v>342</v>
      </c>
      <c r="E261" s="11" t="s">
        <v>12</v>
      </c>
      <c r="F261" s="53">
        <v>75</v>
      </c>
      <c r="G261" s="13">
        <v>13.52</v>
      </c>
      <c r="H261" s="322">
        <f t="shared" si="10"/>
        <v>1014</v>
      </c>
      <c r="I261" s="174"/>
      <c r="J261" s="182"/>
      <c r="K261" s="182"/>
      <c r="L261" s="182"/>
      <c r="M261" s="182"/>
      <c r="N261" s="182"/>
      <c r="O261" s="182"/>
    </row>
    <row r="262" spans="1:15" ht="23.25" x14ac:dyDescent="0.25">
      <c r="A262" s="141" t="s">
        <v>709</v>
      </c>
      <c r="B262" s="15" t="s">
        <v>981</v>
      </c>
      <c r="C262" s="15">
        <v>94690</v>
      </c>
      <c r="D262" s="264" t="s">
        <v>343</v>
      </c>
      <c r="E262" s="11" t="s">
        <v>12</v>
      </c>
      <c r="F262" s="53">
        <v>4</v>
      </c>
      <c r="G262" s="13">
        <v>16.22</v>
      </c>
      <c r="H262" s="322">
        <f t="shared" si="10"/>
        <v>64.88</v>
      </c>
      <c r="I262" s="174"/>
      <c r="J262" s="182"/>
      <c r="K262" s="182"/>
      <c r="L262" s="182"/>
      <c r="M262" s="182"/>
      <c r="N262" s="182"/>
      <c r="O262" s="182"/>
    </row>
    <row r="263" spans="1:15" ht="34.5" x14ac:dyDescent="0.25">
      <c r="A263" s="141" t="s">
        <v>710</v>
      </c>
      <c r="B263" s="15" t="s">
        <v>981</v>
      </c>
      <c r="C263" s="15">
        <v>94692</v>
      </c>
      <c r="D263" s="264" t="s">
        <v>344</v>
      </c>
      <c r="E263" s="11" t="s">
        <v>12</v>
      </c>
      <c r="F263" s="53">
        <v>4</v>
      </c>
      <c r="G263" s="13">
        <v>28.05</v>
      </c>
      <c r="H263" s="322">
        <f t="shared" si="10"/>
        <v>112.2</v>
      </c>
      <c r="I263" s="174"/>
      <c r="J263" s="182"/>
      <c r="K263" s="182"/>
      <c r="L263" s="182"/>
      <c r="M263" s="182"/>
      <c r="N263" s="182"/>
      <c r="O263" s="182"/>
    </row>
    <row r="264" spans="1:15" ht="23.25" x14ac:dyDescent="0.25">
      <c r="A264" s="141" t="s">
        <v>711</v>
      </c>
      <c r="B264" s="15" t="s">
        <v>981</v>
      </c>
      <c r="C264" s="15">
        <v>89400</v>
      </c>
      <c r="D264" s="264" t="s">
        <v>345</v>
      </c>
      <c r="E264" s="11" t="s">
        <v>12</v>
      </c>
      <c r="F264" s="53">
        <v>38</v>
      </c>
      <c r="G264" s="13">
        <v>23.01</v>
      </c>
      <c r="H264" s="322">
        <f t="shared" si="10"/>
        <v>874.38000000000011</v>
      </c>
      <c r="I264" s="174"/>
      <c r="J264" s="182"/>
      <c r="K264" s="182"/>
      <c r="L264" s="182"/>
      <c r="M264" s="182"/>
      <c r="N264" s="182"/>
      <c r="O264" s="182"/>
    </row>
    <row r="265" spans="1:15" ht="23.25" x14ac:dyDescent="0.25">
      <c r="A265" s="141" t="s">
        <v>712</v>
      </c>
      <c r="B265" s="15" t="s">
        <v>981</v>
      </c>
      <c r="C265" s="15">
        <v>89626</v>
      </c>
      <c r="D265" s="264" t="s">
        <v>329</v>
      </c>
      <c r="E265" s="11" t="s">
        <v>12</v>
      </c>
      <c r="F265" s="53">
        <v>1</v>
      </c>
      <c r="G265" s="13">
        <v>31.93</v>
      </c>
      <c r="H265" s="322">
        <f t="shared" si="10"/>
        <v>31.93</v>
      </c>
      <c r="I265" s="174"/>
      <c r="J265" s="182"/>
      <c r="K265" s="182"/>
      <c r="L265" s="182"/>
      <c r="M265" s="182"/>
      <c r="N265" s="182"/>
      <c r="O265" s="182"/>
    </row>
    <row r="266" spans="1:15" ht="23.25" x14ac:dyDescent="0.25">
      <c r="A266" s="141" t="s">
        <v>713</v>
      </c>
      <c r="B266" s="15" t="s">
        <v>981</v>
      </c>
      <c r="C266" s="15">
        <v>89396</v>
      </c>
      <c r="D266" s="264" t="s">
        <v>346</v>
      </c>
      <c r="E266" s="11" t="s">
        <v>12</v>
      </c>
      <c r="F266" s="53">
        <v>1</v>
      </c>
      <c r="G266" s="13">
        <v>23</v>
      </c>
      <c r="H266" s="322">
        <f t="shared" si="10"/>
        <v>23</v>
      </c>
      <c r="I266" s="174"/>
      <c r="J266" s="182"/>
      <c r="K266" s="182"/>
      <c r="L266" s="182"/>
      <c r="M266" s="182"/>
      <c r="N266" s="182"/>
      <c r="O266" s="182"/>
    </row>
    <row r="267" spans="1:15" x14ac:dyDescent="0.25">
      <c r="A267" s="141" t="s">
        <v>714</v>
      </c>
      <c r="B267" s="15" t="s">
        <v>981</v>
      </c>
      <c r="C267" s="68">
        <v>89623</v>
      </c>
      <c r="D267" s="260" t="s">
        <v>328</v>
      </c>
      <c r="E267" s="11" t="s">
        <v>12</v>
      </c>
      <c r="F267" s="53">
        <v>1</v>
      </c>
      <c r="G267" s="13">
        <v>21.07</v>
      </c>
      <c r="H267" s="322">
        <f t="shared" si="10"/>
        <v>21.07</v>
      </c>
      <c r="I267" s="182"/>
      <c r="J267" s="182"/>
      <c r="K267" s="182"/>
      <c r="L267" s="182"/>
      <c r="M267" s="182"/>
      <c r="N267" s="182"/>
      <c r="O267" s="182"/>
    </row>
    <row r="268" spans="1:15" x14ac:dyDescent="0.25">
      <c r="A268" s="141" t="s">
        <v>715</v>
      </c>
      <c r="B268" s="15" t="s">
        <v>981</v>
      </c>
      <c r="C268" s="147">
        <v>89628</v>
      </c>
      <c r="D268" s="260" t="s">
        <v>330</v>
      </c>
      <c r="E268" s="11" t="s">
        <v>12</v>
      </c>
      <c r="F268" s="53">
        <v>1</v>
      </c>
      <c r="G268" s="13">
        <v>50.13</v>
      </c>
      <c r="H268" s="322">
        <f t="shared" si="10"/>
        <v>50.13</v>
      </c>
      <c r="I268" s="174"/>
      <c r="J268" s="182"/>
      <c r="K268" s="182"/>
      <c r="L268" s="182"/>
      <c r="M268" s="182"/>
      <c r="N268" s="182"/>
      <c r="O268" s="182"/>
    </row>
    <row r="269" spans="1:15" x14ac:dyDescent="0.25">
      <c r="A269" s="141" t="s">
        <v>716</v>
      </c>
      <c r="B269" s="15" t="s">
        <v>981</v>
      </c>
      <c r="C269" s="15">
        <v>89987</v>
      </c>
      <c r="D269" s="148" t="s">
        <v>347</v>
      </c>
      <c r="E269" s="11" t="s">
        <v>12</v>
      </c>
      <c r="F269" s="53">
        <v>20</v>
      </c>
      <c r="G269" s="115">
        <v>80.239999999999995</v>
      </c>
      <c r="H269" s="322">
        <f t="shared" si="10"/>
        <v>1604.8</v>
      </c>
      <c r="I269" s="174"/>
      <c r="J269" s="182"/>
      <c r="K269" s="182"/>
      <c r="L269" s="182"/>
      <c r="M269" s="182"/>
      <c r="N269" s="182"/>
      <c r="O269" s="182"/>
    </row>
    <row r="270" spans="1:15" x14ac:dyDescent="0.25">
      <c r="A270" s="141" t="s">
        <v>717</v>
      </c>
      <c r="B270" s="15" t="s">
        <v>981</v>
      </c>
      <c r="C270" s="15">
        <v>94793</v>
      </c>
      <c r="D270" s="264" t="s">
        <v>348</v>
      </c>
      <c r="E270" s="11" t="s">
        <v>12</v>
      </c>
      <c r="F270" s="53">
        <v>2</v>
      </c>
      <c r="G270" s="115">
        <v>132.5</v>
      </c>
      <c r="H270" s="322">
        <f t="shared" si="10"/>
        <v>265</v>
      </c>
      <c r="I270" s="174"/>
      <c r="J270" s="182"/>
      <c r="K270" s="182"/>
      <c r="L270" s="182"/>
      <c r="M270" s="182"/>
      <c r="N270" s="182"/>
      <c r="O270" s="182"/>
    </row>
    <row r="271" spans="1:15" ht="23.25" x14ac:dyDescent="0.25">
      <c r="A271" s="141" t="s">
        <v>718</v>
      </c>
      <c r="B271" s="15" t="s">
        <v>981</v>
      </c>
      <c r="C271" s="15">
        <v>94496</v>
      </c>
      <c r="D271" s="264" t="s">
        <v>349</v>
      </c>
      <c r="E271" s="11" t="s">
        <v>12</v>
      </c>
      <c r="F271" s="53">
        <v>2</v>
      </c>
      <c r="G271" s="13">
        <v>71.27</v>
      </c>
      <c r="H271" s="322">
        <f t="shared" si="10"/>
        <v>142.54</v>
      </c>
      <c r="I271" s="174"/>
      <c r="J271" s="182"/>
      <c r="K271" s="182"/>
      <c r="L271" s="182"/>
      <c r="M271" s="182"/>
      <c r="N271" s="182"/>
      <c r="O271" s="182"/>
    </row>
    <row r="272" spans="1:15" ht="23.25" x14ac:dyDescent="0.25">
      <c r="A272" s="141" t="s">
        <v>719</v>
      </c>
      <c r="B272" s="15" t="s">
        <v>981</v>
      </c>
      <c r="C272" s="15">
        <v>94497</v>
      </c>
      <c r="D272" s="264" t="s">
        <v>350</v>
      </c>
      <c r="E272" s="11" t="s">
        <v>12</v>
      </c>
      <c r="F272" s="53">
        <v>2</v>
      </c>
      <c r="G272" s="13">
        <v>90.48</v>
      </c>
      <c r="H272" s="322">
        <f t="shared" si="10"/>
        <v>180.96</v>
      </c>
      <c r="I272" s="174"/>
      <c r="J272" s="182"/>
      <c r="K272" s="182"/>
      <c r="L272" s="182"/>
      <c r="M272" s="182"/>
      <c r="N272" s="182"/>
      <c r="O272" s="182"/>
    </row>
    <row r="273" spans="1:19" ht="23.25" x14ac:dyDescent="0.25">
      <c r="A273" s="141" t="s">
        <v>720</v>
      </c>
      <c r="B273" s="15" t="s">
        <v>981</v>
      </c>
      <c r="C273" s="15">
        <v>94498</v>
      </c>
      <c r="D273" s="264" t="s">
        <v>331</v>
      </c>
      <c r="E273" s="11" t="s">
        <v>12</v>
      </c>
      <c r="F273" s="53">
        <v>2</v>
      </c>
      <c r="G273" s="13">
        <v>124.3</v>
      </c>
      <c r="H273" s="322">
        <f t="shared" si="10"/>
        <v>248.6</v>
      </c>
      <c r="I273" s="174"/>
      <c r="J273" s="182"/>
      <c r="K273" s="182"/>
      <c r="L273" s="182"/>
      <c r="M273" s="182"/>
      <c r="N273" s="182"/>
      <c r="O273" s="182"/>
    </row>
    <row r="274" spans="1:19" x14ac:dyDescent="0.25">
      <c r="A274" s="141" t="s">
        <v>721</v>
      </c>
      <c r="B274" s="15" t="s">
        <v>981</v>
      </c>
      <c r="C274" s="15">
        <v>89985</v>
      </c>
      <c r="D274" s="264" t="s">
        <v>351</v>
      </c>
      <c r="E274" s="11" t="s">
        <v>12</v>
      </c>
      <c r="F274" s="53">
        <v>8</v>
      </c>
      <c r="G274" s="115">
        <v>76.489999999999995</v>
      </c>
      <c r="H274" s="322">
        <f t="shared" si="10"/>
        <v>611.91999999999996</v>
      </c>
      <c r="I274" s="174"/>
      <c r="J274" s="182"/>
      <c r="K274" s="182"/>
      <c r="L274" s="182"/>
      <c r="M274" s="182"/>
      <c r="N274" s="182"/>
      <c r="O274" s="182"/>
    </row>
    <row r="275" spans="1:19" ht="23.25" x14ac:dyDescent="0.25">
      <c r="A275" s="141" t="s">
        <v>722</v>
      </c>
      <c r="B275" s="15" t="s">
        <v>981</v>
      </c>
      <c r="C275" s="15">
        <v>95643</v>
      </c>
      <c r="D275" s="264" t="s">
        <v>332</v>
      </c>
      <c r="E275" s="11" t="s">
        <v>12</v>
      </c>
      <c r="F275" s="53">
        <v>1</v>
      </c>
      <c r="G275" s="13">
        <v>630.52</v>
      </c>
      <c r="H275" s="322">
        <f t="shared" si="10"/>
        <v>630.52</v>
      </c>
      <c r="I275" s="174"/>
      <c r="J275" s="182"/>
      <c r="K275" s="182"/>
      <c r="L275" s="182"/>
      <c r="M275" s="182"/>
      <c r="N275" s="182"/>
      <c r="O275" s="182"/>
    </row>
    <row r="276" spans="1:19" x14ac:dyDescent="0.25">
      <c r="A276" s="141" t="s">
        <v>723</v>
      </c>
      <c r="B276" s="15" t="s">
        <v>982</v>
      </c>
      <c r="C276" s="15" t="s">
        <v>1203</v>
      </c>
      <c r="D276" s="260" t="s">
        <v>1204</v>
      </c>
      <c r="E276" s="11" t="s">
        <v>12</v>
      </c>
      <c r="F276" s="53">
        <v>1</v>
      </c>
      <c r="G276" s="115">
        <v>708.64</v>
      </c>
      <c r="H276" s="322">
        <f t="shared" si="10"/>
        <v>708.64</v>
      </c>
      <c r="I276" s="183"/>
      <c r="J276" s="182"/>
      <c r="K276" s="182"/>
      <c r="L276" s="182"/>
      <c r="M276" s="182"/>
      <c r="O276" s="182"/>
      <c r="R276" s="235"/>
    </row>
    <row r="277" spans="1:19" x14ac:dyDescent="0.25">
      <c r="A277" s="351" t="s">
        <v>919</v>
      </c>
      <c r="B277" s="352"/>
      <c r="C277" s="352"/>
      <c r="D277" s="352"/>
      <c r="E277" s="352"/>
      <c r="F277" s="352"/>
      <c r="G277" s="353"/>
      <c r="H277" s="445">
        <f>SUM(H231:H276)</f>
        <v>26604.053399999997</v>
      </c>
      <c r="I277" s="174"/>
      <c r="J277" s="183"/>
      <c r="K277" s="182"/>
      <c r="L277" s="182"/>
      <c r="M277" s="182"/>
      <c r="N277" s="182"/>
      <c r="O277" s="182"/>
      <c r="S277" s="221"/>
    </row>
    <row r="278" spans="1:19" x14ac:dyDescent="0.25">
      <c r="A278" s="141" t="s">
        <v>724</v>
      </c>
      <c r="B278" s="15"/>
      <c r="C278" s="15"/>
      <c r="D278" s="8" t="s">
        <v>68</v>
      </c>
      <c r="E278" s="14"/>
      <c r="F278" s="53"/>
      <c r="G278" s="13"/>
      <c r="H278" s="322"/>
      <c r="I278" s="174"/>
      <c r="J278" s="182"/>
      <c r="K278" s="182"/>
      <c r="L278" s="182"/>
      <c r="M278" s="182"/>
      <c r="N278" s="182"/>
      <c r="O278" s="182"/>
    </row>
    <row r="279" spans="1:19" ht="23.25" x14ac:dyDescent="0.25">
      <c r="A279" s="141" t="s">
        <v>725</v>
      </c>
      <c r="B279" s="15" t="s">
        <v>981</v>
      </c>
      <c r="C279" s="15">
        <v>89711</v>
      </c>
      <c r="D279" s="264" t="s">
        <v>352</v>
      </c>
      <c r="E279" s="11" t="s">
        <v>8</v>
      </c>
      <c r="F279" s="53">
        <v>113.81</v>
      </c>
      <c r="G279" s="13">
        <v>26.29</v>
      </c>
      <c r="H279" s="322">
        <f t="shared" ref="H279:H284" si="11">G279*F279</f>
        <v>2992.0648999999999</v>
      </c>
      <c r="I279" s="174"/>
      <c r="J279" s="182"/>
      <c r="K279" s="182"/>
      <c r="L279" s="182"/>
      <c r="M279" s="182"/>
      <c r="N279" s="182"/>
      <c r="O279" s="182"/>
    </row>
    <row r="280" spans="1:19" ht="23.25" x14ac:dyDescent="0.25">
      <c r="A280" s="141" t="s">
        <v>726</v>
      </c>
      <c r="B280" s="15" t="s">
        <v>981</v>
      </c>
      <c r="C280" s="15">
        <v>89712</v>
      </c>
      <c r="D280" s="264" t="s">
        <v>353</v>
      </c>
      <c r="E280" s="11" t="s">
        <v>8</v>
      </c>
      <c r="F280" s="53">
        <v>470.1</v>
      </c>
      <c r="G280" s="13">
        <v>32.799999999999997</v>
      </c>
      <c r="H280" s="322">
        <f t="shared" si="11"/>
        <v>15419.279999999999</v>
      </c>
      <c r="I280" s="174"/>
      <c r="J280" s="182"/>
      <c r="K280" s="182"/>
      <c r="L280" s="182"/>
      <c r="M280" s="182"/>
      <c r="N280" s="182"/>
      <c r="O280" s="182"/>
    </row>
    <row r="281" spans="1:19" ht="23.25" x14ac:dyDescent="0.25">
      <c r="A281" s="141" t="s">
        <v>727</v>
      </c>
      <c r="B281" s="15" t="s">
        <v>981</v>
      </c>
      <c r="C281" s="15">
        <v>89713</v>
      </c>
      <c r="D281" s="264" t="s">
        <v>355</v>
      </c>
      <c r="E281" s="11" t="s">
        <v>8</v>
      </c>
      <c r="F281" s="53">
        <v>85.62</v>
      </c>
      <c r="G281" s="13">
        <v>40.72</v>
      </c>
      <c r="H281" s="322">
        <f t="shared" si="11"/>
        <v>3486.4464000000003</v>
      </c>
      <c r="I281" s="174"/>
      <c r="J281" s="182"/>
      <c r="K281" s="182"/>
      <c r="L281" s="182"/>
      <c r="M281" s="182"/>
      <c r="N281" s="182"/>
      <c r="O281" s="182"/>
    </row>
    <row r="282" spans="1:19" ht="23.25" x14ac:dyDescent="0.25">
      <c r="A282" s="141" t="s">
        <v>728</v>
      </c>
      <c r="B282" s="15" t="s">
        <v>981</v>
      </c>
      <c r="C282" s="15">
        <v>89714</v>
      </c>
      <c r="D282" s="264" t="s">
        <v>354</v>
      </c>
      <c r="E282" s="11" t="s">
        <v>8</v>
      </c>
      <c r="F282" s="53">
        <v>288.2</v>
      </c>
      <c r="G282" s="13">
        <v>45.69</v>
      </c>
      <c r="H282" s="322">
        <f t="shared" si="11"/>
        <v>13167.857999999998</v>
      </c>
      <c r="I282" s="174"/>
      <c r="J282" s="182"/>
      <c r="K282" s="182"/>
      <c r="L282" s="182"/>
      <c r="M282" s="182"/>
      <c r="N282" s="182"/>
      <c r="O282" s="182"/>
    </row>
    <row r="283" spans="1:19" ht="23.25" x14ac:dyDescent="0.25">
      <c r="A283" s="141" t="s">
        <v>729</v>
      </c>
      <c r="B283" s="15" t="s">
        <v>981</v>
      </c>
      <c r="C283" s="15">
        <v>89512</v>
      </c>
      <c r="D283" s="264" t="s">
        <v>357</v>
      </c>
      <c r="E283" s="11" t="s">
        <v>8</v>
      </c>
      <c r="F283" s="53">
        <v>10.75</v>
      </c>
      <c r="G283" s="13">
        <v>57.54</v>
      </c>
      <c r="H283" s="322">
        <f t="shared" si="11"/>
        <v>618.55499999999995</v>
      </c>
      <c r="I283" s="174"/>
      <c r="J283" s="182"/>
      <c r="K283" s="182"/>
      <c r="L283" s="182"/>
      <c r="M283" s="182"/>
      <c r="N283" s="182"/>
      <c r="O283" s="182"/>
    </row>
    <row r="284" spans="1:19" ht="23.25" x14ac:dyDescent="0.25">
      <c r="A284" s="141" t="s">
        <v>730</v>
      </c>
      <c r="B284" s="15" t="s">
        <v>981</v>
      </c>
      <c r="C284" s="15">
        <v>98102</v>
      </c>
      <c r="D284" s="264" t="s">
        <v>358</v>
      </c>
      <c r="E284" s="11" t="s">
        <v>12</v>
      </c>
      <c r="F284" s="53">
        <v>1</v>
      </c>
      <c r="G284" s="13">
        <v>164</v>
      </c>
      <c r="H284" s="322">
        <f t="shared" si="11"/>
        <v>164</v>
      </c>
      <c r="I284" s="174"/>
      <c r="J284" s="182"/>
      <c r="K284" s="182"/>
      <c r="L284" s="182"/>
      <c r="M284" s="182"/>
      <c r="N284" s="182"/>
      <c r="O284" s="182"/>
    </row>
    <row r="285" spans="1:19" ht="23.25" x14ac:dyDescent="0.25">
      <c r="A285" s="141" t="s">
        <v>731</v>
      </c>
      <c r="B285" s="15" t="s">
        <v>981</v>
      </c>
      <c r="C285" s="15">
        <v>89535</v>
      </c>
      <c r="D285" s="264" t="s">
        <v>364</v>
      </c>
      <c r="E285" s="11" t="s">
        <v>12</v>
      </c>
      <c r="F285" s="53">
        <v>18</v>
      </c>
      <c r="G285" s="13">
        <v>44.69</v>
      </c>
      <c r="H285" s="322">
        <f t="shared" ref="H285:H294" si="12">G285*F285</f>
        <v>804.42</v>
      </c>
      <c r="I285" s="174"/>
      <c r="J285" s="182"/>
      <c r="K285" s="182"/>
      <c r="L285" s="182"/>
      <c r="M285" s="182"/>
      <c r="N285" s="182"/>
      <c r="O285" s="182"/>
    </row>
    <row r="286" spans="1:19" ht="23.25" x14ac:dyDescent="0.25">
      <c r="A286" s="141" t="s">
        <v>732</v>
      </c>
      <c r="B286" s="15" t="s">
        <v>981</v>
      </c>
      <c r="C286" s="15">
        <v>89531</v>
      </c>
      <c r="D286" s="264" t="s">
        <v>359</v>
      </c>
      <c r="E286" s="11" t="s">
        <v>12</v>
      </c>
      <c r="F286" s="53">
        <v>3</v>
      </c>
      <c r="G286" s="13">
        <v>39.89</v>
      </c>
      <c r="H286" s="322">
        <f t="shared" si="12"/>
        <v>119.67</v>
      </c>
      <c r="I286" s="174"/>
      <c r="J286" s="182"/>
      <c r="K286" s="182"/>
      <c r="L286" s="182"/>
      <c r="M286" s="182"/>
      <c r="N286" s="182"/>
      <c r="O286" s="182"/>
    </row>
    <row r="287" spans="1:19" ht="23.25" x14ac:dyDescent="0.25">
      <c r="A287" s="141" t="s">
        <v>733</v>
      </c>
      <c r="B287" s="15" t="s">
        <v>981</v>
      </c>
      <c r="C287" s="15">
        <v>89554</v>
      </c>
      <c r="D287" s="264" t="s">
        <v>360</v>
      </c>
      <c r="E287" s="11" t="s">
        <v>12</v>
      </c>
      <c r="F287" s="53">
        <v>3</v>
      </c>
      <c r="G287" s="13">
        <v>29.06</v>
      </c>
      <c r="H287" s="322">
        <f t="shared" si="12"/>
        <v>87.179999999999993</v>
      </c>
      <c r="I287" s="174"/>
      <c r="J287" s="182"/>
      <c r="K287" s="182"/>
      <c r="L287" s="182"/>
      <c r="M287" s="182"/>
      <c r="N287" s="182"/>
      <c r="O287" s="182"/>
    </row>
    <row r="288" spans="1:19" ht="23.25" x14ac:dyDescent="0.25">
      <c r="A288" s="141" t="s">
        <v>734</v>
      </c>
      <c r="B288" s="15" t="s">
        <v>981</v>
      </c>
      <c r="C288" s="15">
        <v>86878</v>
      </c>
      <c r="D288" s="264" t="s">
        <v>361</v>
      </c>
      <c r="E288" s="11" t="s">
        <v>12</v>
      </c>
      <c r="F288" s="53">
        <v>88</v>
      </c>
      <c r="G288" s="13">
        <v>63.95</v>
      </c>
      <c r="H288" s="322">
        <f t="shared" si="12"/>
        <v>5627.6</v>
      </c>
      <c r="I288" s="174"/>
      <c r="J288" s="182"/>
      <c r="K288" s="182"/>
      <c r="L288" s="182"/>
      <c r="M288" s="182"/>
      <c r="N288" s="182"/>
      <c r="O288" s="182"/>
    </row>
    <row r="289" spans="1:18" ht="23.25" x14ac:dyDescent="0.25">
      <c r="A289" s="141" t="s">
        <v>735</v>
      </c>
      <c r="B289" s="15" t="s">
        <v>981</v>
      </c>
      <c r="C289" s="15">
        <v>89546</v>
      </c>
      <c r="D289" s="264" t="s">
        <v>362</v>
      </c>
      <c r="E289" s="11" t="s">
        <v>12</v>
      </c>
      <c r="F289" s="53">
        <v>4</v>
      </c>
      <c r="G289" s="13">
        <v>11.57</v>
      </c>
      <c r="H289" s="322">
        <f t="shared" si="12"/>
        <v>46.28</v>
      </c>
      <c r="I289" s="174"/>
      <c r="J289" s="182"/>
      <c r="K289" s="182"/>
      <c r="L289" s="182"/>
      <c r="M289" s="182"/>
      <c r="N289" s="182"/>
      <c r="O289" s="182"/>
    </row>
    <row r="290" spans="1:18" ht="23.25" x14ac:dyDescent="0.25">
      <c r="A290" s="141" t="s">
        <v>736</v>
      </c>
      <c r="B290" s="15" t="s">
        <v>981</v>
      </c>
      <c r="C290" s="15">
        <v>89707</v>
      </c>
      <c r="D290" s="264" t="s">
        <v>363</v>
      </c>
      <c r="E290" s="11" t="s">
        <v>12</v>
      </c>
      <c r="F290" s="53">
        <v>86</v>
      </c>
      <c r="G290" s="13">
        <v>56.22</v>
      </c>
      <c r="H290" s="322">
        <f t="shared" si="12"/>
        <v>4834.92</v>
      </c>
      <c r="I290" s="174"/>
      <c r="J290" s="182"/>
      <c r="K290" s="182"/>
      <c r="L290" s="182"/>
      <c r="M290" s="182"/>
      <c r="N290" s="182"/>
      <c r="O290" s="182"/>
    </row>
    <row r="291" spans="1:18" ht="34.5" x14ac:dyDescent="0.25">
      <c r="A291" s="141" t="s">
        <v>737</v>
      </c>
      <c r="B291" s="15" t="s">
        <v>981</v>
      </c>
      <c r="C291" s="15">
        <v>89748</v>
      </c>
      <c r="D291" s="264" t="s">
        <v>365</v>
      </c>
      <c r="E291" s="11" t="s">
        <v>12</v>
      </c>
      <c r="F291" s="53">
        <v>22</v>
      </c>
      <c r="G291" s="13">
        <v>46.15</v>
      </c>
      <c r="H291" s="322">
        <f t="shared" si="12"/>
        <v>1015.3</v>
      </c>
      <c r="I291" s="174"/>
      <c r="J291" s="182"/>
      <c r="K291" s="182"/>
      <c r="L291" s="182"/>
      <c r="M291" s="182"/>
      <c r="N291" s="182"/>
      <c r="O291" s="182"/>
    </row>
    <row r="292" spans="1:18" ht="34.5" x14ac:dyDescent="0.25">
      <c r="A292" s="141" t="s">
        <v>738</v>
      </c>
      <c r="B292" s="15" t="s">
        <v>981</v>
      </c>
      <c r="C292" s="15">
        <v>89726</v>
      </c>
      <c r="D292" s="264" t="s">
        <v>366</v>
      </c>
      <c r="E292" s="11" t="s">
        <v>12</v>
      </c>
      <c r="F292" s="53">
        <v>45</v>
      </c>
      <c r="G292" s="13">
        <v>12.23</v>
      </c>
      <c r="H292" s="322">
        <f t="shared" si="12"/>
        <v>550.35</v>
      </c>
      <c r="I292" s="174"/>
      <c r="J292" s="182"/>
      <c r="K292" s="182"/>
      <c r="L292" s="182"/>
      <c r="M292" s="182"/>
      <c r="N292" s="182"/>
      <c r="O292" s="182"/>
    </row>
    <row r="293" spans="1:18" ht="34.5" x14ac:dyDescent="0.25">
      <c r="A293" s="141" t="s">
        <v>739</v>
      </c>
      <c r="B293" s="15" t="s">
        <v>981</v>
      </c>
      <c r="C293" s="15">
        <v>89732</v>
      </c>
      <c r="D293" s="264" t="s">
        <v>367</v>
      </c>
      <c r="E293" s="11" t="s">
        <v>12</v>
      </c>
      <c r="F293" s="53">
        <v>100</v>
      </c>
      <c r="G293" s="13">
        <v>17.34</v>
      </c>
      <c r="H293" s="322">
        <f t="shared" si="12"/>
        <v>1734</v>
      </c>
      <c r="I293" s="174"/>
      <c r="J293" s="182"/>
      <c r="K293" s="182"/>
      <c r="L293" s="182"/>
      <c r="M293" s="182"/>
      <c r="N293" s="182"/>
      <c r="O293" s="182"/>
    </row>
    <row r="294" spans="1:18" ht="34.5" x14ac:dyDescent="0.25">
      <c r="A294" s="141" t="s">
        <v>740</v>
      </c>
      <c r="B294" s="15" t="s">
        <v>981</v>
      </c>
      <c r="C294" s="15">
        <v>89739</v>
      </c>
      <c r="D294" s="264" t="s">
        <v>368</v>
      </c>
      <c r="E294" s="11" t="s">
        <v>12</v>
      </c>
      <c r="F294" s="53">
        <v>8</v>
      </c>
      <c r="G294" s="13">
        <v>25.7</v>
      </c>
      <c r="H294" s="322">
        <f t="shared" si="12"/>
        <v>205.6</v>
      </c>
      <c r="I294" s="174"/>
      <c r="J294" s="182"/>
      <c r="K294" s="182"/>
      <c r="L294" s="182"/>
      <c r="M294" s="182"/>
      <c r="N294" s="182"/>
      <c r="O294" s="182"/>
    </row>
    <row r="295" spans="1:18" ht="34.5" x14ac:dyDescent="0.25">
      <c r="A295" s="141" t="s">
        <v>741</v>
      </c>
      <c r="B295" s="15" t="s">
        <v>981</v>
      </c>
      <c r="C295" s="15">
        <v>89746</v>
      </c>
      <c r="D295" s="264" t="s">
        <v>369</v>
      </c>
      <c r="E295" s="11" t="s">
        <v>12</v>
      </c>
      <c r="F295" s="53">
        <v>49</v>
      </c>
      <c r="G295" s="13">
        <v>30.68</v>
      </c>
      <c r="H295" s="322">
        <f t="shared" ref="H295:H301" si="13">G295*F295</f>
        <v>1503.32</v>
      </c>
      <c r="I295" s="174"/>
      <c r="J295" s="182"/>
      <c r="K295" s="182"/>
      <c r="L295" s="182"/>
      <c r="M295" s="182"/>
      <c r="N295" s="182"/>
      <c r="O295" s="182"/>
    </row>
    <row r="296" spans="1:18" ht="34.5" x14ac:dyDescent="0.25">
      <c r="A296" s="141" t="s">
        <v>742</v>
      </c>
      <c r="B296" s="15" t="s">
        <v>981</v>
      </c>
      <c r="C296" s="15">
        <v>89724</v>
      </c>
      <c r="D296" s="264" t="s">
        <v>370</v>
      </c>
      <c r="E296" s="11" t="s">
        <v>12</v>
      </c>
      <c r="F296" s="53">
        <v>88</v>
      </c>
      <c r="G296" s="13">
        <v>11.98</v>
      </c>
      <c r="H296" s="322">
        <f t="shared" si="13"/>
        <v>1054.24</v>
      </c>
      <c r="I296" s="174"/>
      <c r="J296" s="182"/>
      <c r="K296" s="182"/>
      <c r="L296" s="182"/>
      <c r="M296" s="182"/>
      <c r="N296" s="182"/>
      <c r="O296" s="182"/>
    </row>
    <row r="297" spans="1:18" ht="34.5" x14ac:dyDescent="0.25">
      <c r="A297" s="141" t="s">
        <v>743</v>
      </c>
      <c r="B297" s="15" t="s">
        <v>981</v>
      </c>
      <c r="C297" s="15">
        <v>89731</v>
      </c>
      <c r="D297" s="264" t="s">
        <v>371</v>
      </c>
      <c r="E297" s="11" t="s">
        <v>12</v>
      </c>
      <c r="F297" s="53">
        <v>72</v>
      </c>
      <c r="G297" s="13">
        <v>16.55</v>
      </c>
      <c r="H297" s="322">
        <f t="shared" si="13"/>
        <v>1191.6000000000001</v>
      </c>
      <c r="I297" s="174"/>
      <c r="J297" s="182"/>
      <c r="K297" s="182"/>
      <c r="L297" s="182"/>
      <c r="M297" s="182"/>
      <c r="N297" s="182"/>
      <c r="O297" s="182"/>
    </row>
    <row r="298" spans="1:18" ht="34.5" x14ac:dyDescent="0.25">
      <c r="A298" s="141" t="s">
        <v>744</v>
      </c>
      <c r="B298" s="15" t="s">
        <v>981</v>
      </c>
      <c r="C298" s="15">
        <v>89737</v>
      </c>
      <c r="D298" s="264" t="s">
        <v>372</v>
      </c>
      <c r="E298" s="11" t="s">
        <v>12</v>
      </c>
      <c r="F298" s="53">
        <v>1</v>
      </c>
      <c r="G298" s="13">
        <v>24.64</v>
      </c>
      <c r="H298" s="322">
        <f t="shared" si="13"/>
        <v>24.64</v>
      </c>
      <c r="I298" s="174"/>
      <c r="J298" s="182"/>
      <c r="K298" s="182"/>
      <c r="L298" s="182"/>
      <c r="M298" s="182"/>
      <c r="N298" s="182"/>
      <c r="O298" s="182"/>
    </row>
    <row r="299" spans="1:18" ht="34.5" x14ac:dyDescent="0.25">
      <c r="A299" s="141" t="s">
        <v>745</v>
      </c>
      <c r="B299" s="15" t="s">
        <v>981</v>
      </c>
      <c r="C299" s="15">
        <v>89744</v>
      </c>
      <c r="D299" s="264" t="s">
        <v>373</v>
      </c>
      <c r="E299" s="11" t="s">
        <v>12</v>
      </c>
      <c r="F299" s="53">
        <v>22</v>
      </c>
      <c r="G299" s="13">
        <v>29.77</v>
      </c>
      <c r="H299" s="322">
        <f t="shared" si="13"/>
        <v>654.93999999999994</v>
      </c>
      <c r="I299" s="174"/>
      <c r="J299" s="182"/>
      <c r="K299" s="182"/>
      <c r="L299" s="182"/>
      <c r="M299" s="182"/>
      <c r="N299" s="182"/>
      <c r="O299" s="182"/>
    </row>
    <row r="300" spans="1:18" ht="34.5" x14ac:dyDescent="0.25">
      <c r="A300" s="141" t="s">
        <v>746</v>
      </c>
      <c r="B300" s="15" t="s">
        <v>981</v>
      </c>
      <c r="C300" s="15">
        <v>89783</v>
      </c>
      <c r="D300" s="264" t="s">
        <v>374</v>
      </c>
      <c r="E300" s="11" t="s">
        <v>12</v>
      </c>
      <c r="F300" s="53">
        <v>9</v>
      </c>
      <c r="G300" s="13">
        <v>17.28</v>
      </c>
      <c r="H300" s="322">
        <f t="shared" si="13"/>
        <v>155.52000000000001</v>
      </c>
      <c r="I300" s="180"/>
      <c r="J300" s="204"/>
      <c r="K300" s="204"/>
      <c r="L300" s="204"/>
      <c r="M300" s="204"/>
      <c r="N300" s="204"/>
      <c r="O300" s="204"/>
      <c r="P300" s="231"/>
      <c r="Q300" s="231"/>
      <c r="R300" s="223"/>
    </row>
    <row r="301" spans="1:18" ht="34.5" x14ac:dyDescent="0.25">
      <c r="A301" s="141" t="s">
        <v>747</v>
      </c>
      <c r="B301" s="15" t="s">
        <v>981</v>
      </c>
      <c r="C301" s="15">
        <v>89785</v>
      </c>
      <c r="D301" s="264" t="s">
        <v>375</v>
      </c>
      <c r="E301" s="11" t="s">
        <v>12</v>
      </c>
      <c r="F301" s="53">
        <v>32</v>
      </c>
      <c r="G301" s="13">
        <v>29.1</v>
      </c>
      <c r="H301" s="322">
        <f t="shared" si="13"/>
        <v>931.2</v>
      </c>
      <c r="I301" s="180"/>
      <c r="J301" s="204"/>
      <c r="K301" s="204"/>
      <c r="L301" s="204"/>
      <c r="M301" s="204"/>
      <c r="N301" s="204"/>
      <c r="O301" s="204"/>
      <c r="P301" s="231"/>
      <c r="Q301" s="231"/>
      <c r="R301" s="223"/>
    </row>
    <row r="302" spans="1:18" x14ac:dyDescent="0.25">
      <c r="A302" s="141" t="s">
        <v>748</v>
      </c>
      <c r="B302" s="15" t="s">
        <v>981</v>
      </c>
      <c r="C302" s="146">
        <v>89795</v>
      </c>
      <c r="D302" s="264" t="s">
        <v>376</v>
      </c>
      <c r="E302" s="11" t="s">
        <v>12</v>
      </c>
      <c r="F302" s="53">
        <v>11</v>
      </c>
      <c r="G302" s="115">
        <v>44.19</v>
      </c>
      <c r="H302" s="322">
        <f t="shared" ref="H302:H311" si="14">G302*F302</f>
        <v>486.09</v>
      </c>
      <c r="I302" s="182"/>
      <c r="J302" s="182"/>
      <c r="K302" s="182"/>
      <c r="L302" s="182"/>
      <c r="M302" s="182"/>
      <c r="N302" s="182"/>
      <c r="O302" s="182"/>
    </row>
    <row r="303" spans="1:18" ht="23.25" x14ac:dyDescent="0.25">
      <c r="A303" s="141" t="s">
        <v>749</v>
      </c>
      <c r="B303" s="15" t="s">
        <v>981</v>
      </c>
      <c r="C303" s="15">
        <v>89834</v>
      </c>
      <c r="D303" s="264" t="s">
        <v>377</v>
      </c>
      <c r="E303" s="11" t="s">
        <v>12</v>
      </c>
      <c r="F303" s="53">
        <v>35</v>
      </c>
      <c r="G303" s="115">
        <v>57.33</v>
      </c>
      <c r="H303" s="322">
        <f t="shared" si="14"/>
        <v>2006.55</v>
      </c>
      <c r="I303" s="174"/>
      <c r="J303" s="182"/>
      <c r="K303" s="182"/>
      <c r="L303" s="182"/>
      <c r="M303" s="182"/>
      <c r="N303" s="182"/>
      <c r="O303" s="182"/>
    </row>
    <row r="304" spans="1:18" x14ac:dyDescent="0.25">
      <c r="A304" s="141" t="s">
        <v>750</v>
      </c>
      <c r="B304" s="15" t="s">
        <v>981</v>
      </c>
      <c r="C304" s="15">
        <v>104353</v>
      </c>
      <c r="D304" s="264" t="s">
        <v>378</v>
      </c>
      <c r="E304" s="11" t="s">
        <v>12</v>
      </c>
      <c r="F304" s="53">
        <v>34</v>
      </c>
      <c r="G304" s="115">
        <v>44.71</v>
      </c>
      <c r="H304" s="322">
        <f t="shared" si="14"/>
        <v>1520.14</v>
      </c>
      <c r="I304" s="175"/>
      <c r="J304" s="182"/>
      <c r="K304" s="182"/>
      <c r="L304" s="182"/>
      <c r="M304" s="182"/>
      <c r="N304" s="182"/>
      <c r="O304" s="182"/>
    </row>
    <row r="305" spans="1:15" x14ac:dyDescent="0.25">
      <c r="A305" s="141" t="s">
        <v>751</v>
      </c>
      <c r="B305" s="15" t="s">
        <v>981</v>
      </c>
      <c r="C305" s="15">
        <v>104355</v>
      </c>
      <c r="D305" s="264" t="s">
        <v>379</v>
      </c>
      <c r="E305" s="11" t="s">
        <v>12</v>
      </c>
      <c r="F305" s="53">
        <v>4</v>
      </c>
      <c r="G305" s="115">
        <v>51.76</v>
      </c>
      <c r="H305" s="322">
        <f t="shared" si="14"/>
        <v>207.04</v>
      </c>
      <c r="I305" s="175"/>
      <c r="J305" s="182"/>
      <c r="K305" s="182"/>
      <c r="L305" s="182"/>
      <c r="M305" s="182"/>
      <c r="N305" s="182"/>
      <c r="O305" s="182"/>
    </row>
    <row r="306" spans="1:15" ht="23.25" x14ac:dyDescent="0.25">
      <c r="A306" s="141" t="s">
        <v>752</v>
      </c>
      <c r="B306" s="15" t="s">
        <v>981</v>
      </c>
      <c r="C306" s="15">
        <v>89753</v>
      </c>
      <c r="D306" s="264" t="s">
        <v>380</v>
      </c>
      <c r="E306" s="11" t="s">
        <v>12</v>
      </c>
      <c r="F306" s="53">
        <v>198</v>
      </c>
      <c r="G306" s="13">
        <v>10.72</v>
      </c>
      <c r="H306" s="322">
        <f t="shared" si="14"/>
        <v>2122.56</v>
      </c>
      <c r="I306" s="174"/>
      <c r="J306" s="182"/>
      <c r="K306" s="182"/>
      <c r="L306" s="182"/>
      <c r="M306" s="182"/>
      <c r="N306" s="182"/>
      <c r="O306" s="182"/>
    </row>
    <row r="307" spans="1:15" ht="23.25" x14ac:dyDescent="0.25">
      <c r="A307" s="141" t="s">
        <v>753</v>
      </c>
      <c r="B307" s="15" t="s">
        <v>981</v>
      </c>
      <c r="C307" s="15">
        <v>89774</v>
      </c>
      <c r="D307" s="264" t="s">
        <v>381</v>
      </c>
      <c r="E307" s="11" t="s">
        <v>12</v>
      </c>
      <c r="F307" s="53">
        <v>18</v>
      </c>
      <c r="G307" s="13">
        <v>17.13</v>
      </c>
      <c r="H307" s="322">
        <f t="shared" si="14"/>
        <v>308.33999999999997</v>
      </c>
      <c r="I307" s="174"/>
      <c r="J307" s="182"/>
      <c r="K307" s="182"/>
      <c r="L307" s="182"/>
      <c r="M307" s="182"/>
      <c r="N307" s="182"/>
      <c r="O307" s="182"/>
    </row>
    <row r="308" spans="1:15" ht="23.25" x14ac:dyDescent="0.25">
      <c r="A308" s="141" t="s">
        <v>754</v>
      </c>
      <c r="B308" s="15" t="s">
        <v>981</v>
      </c>
      <c r="C308" s="15">
        <v>89778</v>
      </c>
      <c r="D308" s="264" t="s">
        <v>382</v>
      </c>
      <c r="E308" s="11" t="s">
        <v>12</v>
      </c>
      <c r="F308" s="53">
        <v>128</v>
      </c>
      <c r="G308" s="13">
        <v>19.37</v>
      </c>
      <c r="H308" s="322">
        <f t="shared" si="14"/>
        <v>2479.36</v>
      </c>
      <c r="I308" s="174"/>
      <c r="J308" s="182"/>
      <c r="K308" s="182"/>
      <c r="L308" s="182"/>
      <c r="M308" s="182"/>
      <c r="N308" s="182"/>
      <c r="O308" s="182"/>
    </row>
    <row r="309" spans="1:15" ht="23.25" x14ac:dyDescent="0.25">
      <c r="A309" s="141" t="s">
        <v>755</v>
      </c>
      <c r="B309" s="15" t="s">
        <v>981</v>
      </c>
      <c r="C309" s="15">
        <v>89710</v>
      </c>
      <c r="D309" s="264" t="s">
        <v>383</v>
      </c>
      <c r="E309" s="11" t="s">
        <v>12</v>
      </c>
      <c r="F309" s="53">
        <v>10</v>
      </c>
      <c r="G309" s="13">
        <v>21.72</v>
      </c>
      <c r="H309" s="322">
        <f t="shared" si="14"/>
        <v>217.2</v>
      </c>
      <c r="I309" s="174"/>
      <c r="J309" s="182"/>
      <c r="K309" s="182"/>
      <c r="L309" s="182"/>
      <c r="M309" s="182"/>
      <c r="N309" s="182"/>
      <c r="O309" s="182"/>
    </row>
    <row r="310" spans="1:15" x14ac:dyDescent="0.25">
      <c r="A310" s="141" t="s">
        <v>756</v>
      </c>
      <c r="B310" s="15" t="s">
        <v>981</v>
      </c>
      <c r="C310" s="15">
        <v>89549</v>
      </c>
      <c r="D310" s="264" t="s">
        <v>384</v>
      </c>
      <c r="E310" s="11" t="s">
        <v>12</v>
      </c>
      <c r="F310" s="53">
        <v>32</v>
      </c>
      <c r="G310" s="115">
        <v>19.59</v>
      </c>
      <c r="H310" s="322">
        <f t="shared" si="14"/>
        <v>626.88</v>
      </c>
      <c r="I310" s="175"/>
      <c r="J310" s="182"/>
      <c r="K310" s="182"/>
      <c r="L310" s="182"/>
      <c r="M310" s="182"/>
      <c r="N310" s="182"/>
      <c r="O310" s="182"/>
    </row>
    <row r="311" spans="1:15" x14ac:dyDescent="0.25">
      <c r="A311" s="141" t="s">
        <v>757</v>
      </c>
      <c r="B311" s="15" t="s">
        <v>981</v>
      </c>
      <c r="C311" s="15">
        <v>152250</v>
      </c>
      <c r="D311" s="264" t="s">
        <v>385</v>
      </c>
      <c r="E311" s="11" t="s">
        <v>12</v>
      </c>
      <c r="F311" s="53">
        <v>4</v>
      </c>
      <c r="G311" s="115">
        <v>82.39</v>
      </c>
      <c r="H311" s="322">
        <f t="shared" si="14"/>
        <v>329.56</v>
      </c>
      <c r="I311" s="182"/>
      <c r="J311" s="182"/>
      <c r="K311" s="182"/>
      <c r="L311" s="182"/>
      <c r="M311" s="182"/>
      <c r="N311" s="182"/>
      <c r="O311" s="182"/>
    </row>
    <row r="312" spans="1:15" x14ac:dyDescent="0.25">
      <c r="A312" s="141" t="s">
        <v>758</v>
      </c>
      <c r="B312" s="15" t="s">
        <v>981</v>
      </c>
      <c r="C312" s="15">
        <v>89557</v>
      </c>
      <c r="D312" s="264" t="s">
        <v>386</v>
      </c>
      <c r="E312" s="11" t="s">
        <v>12</v>
      </c>
      <c r="F312" s="53">
        <v>2</v>
      </c>
      <c r="G312" s="13">
        <v>32.97</v>
      </c>
      <c r="H312" s="322">
        <f t="shared" ref="H312:H320" si="15">G312*F312</f>
        <v>65.94</v>
      </c>
      <c r="I312" s="174"/>
      <c r="J312" s="182"/>
      <c r="K312" s="182"/>
      <c r="L312" s="182"/>
      <c r="M312" s="182"/>
      <c r="N312" s="182"/>
      <c r="O312" s="182"/>
    </row>
    <row r="313" spans="1:15" ht="23.25" x14ac:dyDescent="0.25">
      <c r="A313" s="141" t="s">
        <v>759</v>
      </c>
      <c r="B313" s="15" t="s">
        <v>981</v>
      </c>
      <c r="C313" s="15">
        <v>89784</v>
      </c>
      <c r="D313" s="264" t="s">
        <v>387</v>
      </c>
      <c r="E313" s="11" t="s">
        <v>12</v>
      </c>
      <c r="F313" s="53">
        <v>52</v>
      </c>
      <c r="G313" s="13">
        <v>26.55</v>
      </c>
      <c r="H313" s="322">
        <f t="shared" si="15"/>
        <v>1380.6000000000001</v>
      </c>
      <c r="I313" s="174"/>
      <c r="J313" s="182"/>
      <c r="K313" s="182"/>
      <c r="L313" s="182"/>
      <c r="M313" s="182"/>
      <c r="N313" s="182"/>
      <c r="O313" s="182"/>
    </row>
    <row r="314" spans="1:15" ht="23.25" x14ac:dyDescent="0.25">
      <c r="A314" s="141" t="s">
        <v>760</v>
      </c>
      <c r="B314" s="15" t="s">
        <v>981</v>
      </c>
      <c r="C314" s="15">
        <v>89786</v>
      </c>
      <c r="D314" s="264" t="s">
        <v>388</v>
      </c>
      <c r="E314" s="11" t="s">
        <v>12</v>
      </c>
      <c r="F314" s="53">
        <v>2</v>
      </c>
      <c r="G314" s="13">
        <v>41.94</v>
      </c>
      <c r="H314" s="322">
        <f t="shared" si="15"/>
        <v>83.88</v>
      </c>
      <c r="I314" s="174"/>
      <c r="J314" s="182"/>
      <c r="K314" s="182"/>
      <c r="L314" s="182"/>
      <c r="M314" s="182"/>
      <c r="N314" s="182"/>
      <c r="O314" s="182"/>
    </row>
    <row r="315" spans="1:15" ht="23.25" x14ac:dyDescent="0.25">
      <c r="A315" s="141" t="s">
        <v>761</v>
      </c>
      <c r="B315" s="15" t="s">
        <v>981</v>
      </c>
      <c r="C315" s="15">
        <v>89796</v>
      </c>
      <c r="D315" s="264" t="s">
        <v>389</v>
      </c>
      <c r="E315" s="11" t="s">
        <v>12</v>
      </c>
      <c r="F315" s="53">
        <v>6</v>
      </c>
      <c r="G315" s="13">
        <v>46.46</v>
      </c>
      <c r="H315" s="322">
        <f t="shared" si="15"/>
        <v>278.76</v>
      </c>
      <c r="I315" s="174"/>
      <c r="J315" s="182"/>
      <c r="K315" s="182"/>
      <c r="L315" s="182"/>
      <c r="M315" s="182"/>
      <c r="N315" s="182"/>
      <c r="O315" s="182"/>
    </row>
    <row r="316" spans="1:15" x14ac:dyDescent="0.25">
      <c r="A316" s="141" t="s">
        <v>762</v>
      </c>
      <c r="B316" s="15" t="s">
        <v>981</v>
      </c>
      <c r="C316" s="15">
        <v>89829</v>
      </c>
      <c r="D316" s="264" t="s">
        <v>1206</v>
      </c>
      <c r="E316" s="11" t="s">
        <v>12</v>
      </c>
      <c r="F316" s="53">
        <v>13</v>
      </c>
      <c r="G316" s="115">
        <v>38.56</v>
      </c>
      <c r="H316" s="322">
        <f t="shared" si="15"/>
        <v>501.28000000000003</v>
      </c>
      <c r="I316" s="184"/>
      <c r="K316" s="182"/>
      <c r="L316" s="182"/>
      <c r="M316" s="182"/>
      <c r="N316" s="182"/>
      <c r="O316" s="182"/>
    </row>
    <row r="317" spans="1:15" x14ac:dyDescent="0.25">
      <c r="A317" s="141" t="s">
        <v>763</v>
      </c>
      <c r="B317" s="15" t="s">
        <v>981</v>
      </c>
      <c r="C317" s="15">
        <v>89833</v>
      </c>
      <c r="D317" s="264" t="s">
        <v>1205</v>
      </c>
      <c r="E317" s="11" t="s">
        <v>12</v>
      </c>
      <c r="F317" s="53">
        <v>8</v>
      </c>
      <c r="G317" s="115">
        <v>48.57</v>
      </c>
      <c r="H317" s="322">
        <f t="shared" si="15"/>
        <v>388.56</v>
      </c>
      <c r="I317" s="184"/>
      <c r="J317" s="182"/>
      <c r="K317" s="182"/>
      <c r="L317" s="182"/>
      <c r="M317" s="182"/>
      <c r="N317" s="182"/>
      <c r="O317" s="182"/>
    </row>
    <row r="318" spans="1:15" x14ac:dyDescent="0.25">
      <c r="A318" s="141" t="s">
        <v>764</v>
      </c>
      <c r="B318" s="15" t="s">
        <v>981</v>
      </c>
      <c r="C318" s="15">
        <v>89514</v>
      </c>
      <c r="D318" s="264" t="s">
        <v>390</v>
      </c>
      <c r="E318" s="11" t="s">
        <v>12</v>
      </c>
      <c r="F318" s="53">
        <v>94</v>
      </c>
      <c r="G318" s="115">
        <v>8.91</v>
      </c>
      <c r="H318" s="322">
        <f t="shared" si="15"/>
        <v>837.54</v>
      </c>
      <c r="I318" s="184"/>
      <c r="K318" s="182"/>
      <c r="L318" s="182"/>
      <c r="M318" s="182"/>
      <c r="N318" s="182"/>
      <c r="O318" s="182"/>
    </row>
    <row r="319" spans="1:15" x14ac:dyDescent="0.25">
      <c r="A319" s="141" t="s">
        <v>765</v>
      </c>
      <c r="B319" s="15" t="s">
        <v>981</v>
      </c>
      <c r="C319" s="15">
        <v>89518</v>
      </c>
      <c r="D319" s="264" t="s">
        <v>391</v>
      </c>
      <c r="E319" s="11" t="s">
        <v>12</v>
      </c>
      <c r="F319" s="53">
        <v>10</v>
      </c>
      <c r="G319" s="115">
        <v>15.79</v>
      </c>
      <c r="H319" s="322">
        <f t="shared" si="15"/>
        <v>157.89999999999998</v>
      </c>
      <c r="I319" s="184"/>
      <c r="K319" s="182"/>
      <c r="L319" s="182"/>
      <c r="M319" s="182"/>
      <c r="N319" s="182"/>
      <c r="O319" s="182"/>
    </row>
    <row r="320" spans="1:15" ht="23.25" x14ac:dyDescent="0.25">
      <c r="A320" s="141" t="s">
        <v>766</v>
      </c>
      <c r="B320" s="15" t="s">
        <v>981</v>
      </c>
      <c r="C320" s="15">
        <v>95546</v>
      </c>
      <c r="D320" s="264" t="s">
        <v>1043</v>
      </c>
      <c r="E320" s="11" t="s">
        <v>12</v>
      </c>
      <c r="F320" s="53">
        <v>40</v>
      </c>
      <c r="G320" s="13">
        <v>205.43</v>
      </c>
      <c r="H320" s="322">
        <f t="shared" si="15"/>
        <v>8217.2000000000007</v>
      </c>
      <c r="I320" s="174"/>
      <c r="J320" s="182"/>
      <c r="K320" s="182"/>
      <c r="L320" s="182"/>
      <c r="M320" s="182"/>
      <c r="N320" s="182"/>
      <c r="O320" s="182"/>
    </row>
    <row r="321" spans="1:19" x14ac:dyDescent="0.25">
      <c r="A321" s="367" t="s">
        <v>920</v>
      </c>
      <c r="B321" s="368"/>
      <c r="C321" s="368"/>
      <c r="D321" s="368"/>
      <c r="E321" s="368"/>
      <c r="F321" s="368"/>
      <c r="G321" s="368"/>
      <c r="H321" s="438">
        <f>SUM(H279:H320)</f>
        <v>78604.364299999972</v>
      </c>
      <c r="I321" s="174"/>
      <c r="J321" s="182"/>
      <c r="K321" s="182"/>
      <c r="L321" s="182"/>
      <c r="M321" s="182"/>
      <c r="N321" s="182"/>
      <c r="O321" s="182"/>
      <c r="S321" s="221"/>
    </row>
    <row r="322" spans="1:19" x14ac:dyDescent="0.25">
      <c r="A322" s="141" t="s">
        <v>767</v>
      </c>
      <c r="B322" s="15"/>
      <c r="C322" s="15"/>
      <c r="D322" s="8" t="s">
        <v>70</v>
      </c>
      <c r="E322" s="14"/>
      <c r="F322" s="53"/>
      <c r="G322" s="13"/>
      <c r="H322" s="322"/>
      <c r="I322" s="174"/>
      <c r="J322" s="182"/>
      <c r="K322" s="182"/>
      <c r="L322" s="182"/>
      <c r="M322" s="182"/>
      <c r="N322" s="182"/>
      <c r="O322" s="182"/>
    </row>
    <row r="323" spans="1:19" ht="23.25" x14ac:dyDescent="0.25">
      <c r="A323" s="141" t="s">
        <v>768</v>
      </c>
      <c r="B323" s="15" t="s">
        <v>981</v>
      </c>
      <c r="C323" s="15">
        <v>89511</v>
      </c>
      <c r="D323" s="264" t="s">
        <v>392</v>
      </c>
      <c r="E323" s="11" t="s">
        <v>8</v>
      </c>
      <c r="F323" s="53">
        <v>28.79</v>
      </c>
      <c r="G323" s="13">
        <v>45.12</v>
      </c>
      <c r="H323" s="322">
        <f t="shared" ref="H323:H331" si="16">G323*F323</f>
        <v>1299.0047999999999</v>
      </c>
      <c r="I323" s="174"/>
      <c r="J323" s="182"/>
      <c r="K323" s="182"/>
      <c r="L323" s="182"/>
      <c r="M323" s="182"/>
      <c r="N323" s="182"/>
      <c r="O323" s="182"/>
    </row>
    <row r="324" spans="1:19" ht="23.25" x14ac:dyDescent="0.25">
      <c r="A324" s="141" t="s">
        <v>769</v>
      </c>
      <c r="B324" s="15" t="s">
        <v>981</v>
      </c>
      <c r="C324" s="15">
        <v>89512</v>
      </c>
      <c r="D324" s="264" t="s">
        <v>356</v>
      </c>
      <c r="E324" s="11" t="s">
        <v>8</v>
      </c>
      <c r="F324" s="53">
        <v>23.92</v>
      </c>
      <c r="G324" s="13">
        <v>57.54</v>
      </c>
      <c r="H324" s="322">
        <f t="shared" si="16"/>
        <v>1376.3568</v>
      </c>
      <c r="I324" s="174"/>
      <c r="J324" s="182"/>
      <c r="K324" s="182"/>
      <c r="L324" s="182"/>
      <c r="M324" s="182"/>
      <c r="N324" s="182"/>
      <c r="O324" s="182"/>
    </row>
    <row r="325" spans="1:19" ht="23.25" x14ac:dyDescent="0.25">
      <c r="A325" s="141" t="s">
        <v>770</v>
      </c>
      <c r="B325" s="15" t="s">
        <v>981</v>
      </c>
      <c r="C325" s="15">
        <v>89714</v>
      </c>
      <c r="D325" s="264" t="s">
        <v>393</v>
      </c>
      <c r="E325" s="11" t="s">
        <v>8</v>
      </c>
      <c r="F325" s="53">
        <v>96.48</v>
      </c>
      <c r="G325" s="13">
        <v>45.69</v>
      </c>
      <c r="H325" s="322">
        <f t="shared" si="16"/>
        <v>4408.1711999999998</v>
      </c>
      <c r="I325" s="174"/>
      <c r="J325" s="182"/>
      <c r="K325" s="182"/>
      <c r="L325" s="182"/>
      <c r="M325" s="182"/>
      <c r="N325" s="182"/>
      <c r="O325" s="182"/>
    </row>
    <row r="326" spans="1:19" ht="23.25" x14ac:dyDescent="0.25">
      <c r="A326" s="141" t="s">
        <v>771</v>
      </c>
      <c r="B326" s="15" t="s">
        <v>981</v>
      </c>
      <c r="C326" s="15">
        <v>89849</v>
      </c>
      <c r="D326" s="264" t="s">
        <v>394</v>
      </c>
      <c r="E326" s="11" t="s">
        <v>8</v>
      </c>
      <c r="F326" s="53">
        <v>61.04</v>
      </c>
      <c r="G326" s="13">
        <v>64.83</v>
      </c>
      <c r="H326" s="322">
        <f t="shared" si="16"/>
        <v>3957.2231999999999</v>
      </c>
      <c r="I326" s="174"/>
      <c r="J326" s="182"/>
      <c r="K326" s="182"/>
      <c r="L326" s="182"/>
      <c r="M326" s="182"/>
      <c r="N326" s="182"/>
      <c r="O326" s="182"/>
    </row>
    <row r="327" spans="1:19" ht="23.25" x14ac:dyDescent="0.25">
      <c r="A327" s="141" t="s">
        <v>772</v>
      </c>
      <c r="B327" s="15" t="s">
        <v>981</v>
      </c>
      <c r="C327" s="15">
        <v>90696</v>
      </c>
      <c r="D327" s="264" t="s">
        <v>395</v>
      </c>
      <c r="E327" s="11" t="s">
        <v>8</v>
      </c>
      <c r="F327" s="53">
        <v>3.26</v>
      </c>
      <c r="G327" s="13">
        <v>159.25</v>
      </c>
      <c r="H327" s="322">
        <f t="shared" si="16"/>
        <v>519.15499999999997</v>
      </c>
      <c r="I327" s="174"/>
      <c r="J327" s="182"/>
      <c r="K327" s="182"/>
      <c r="L327" s="182"/>
      <c r="M327" s="182"/>
      <c r="N327" s="182"/>
      <c r="O327" s="182"/>
    </row>
    <row r="328" spans="1:19" x14ac:dyDescent="0.25">
      <c r="A328" s="141" t="s">
        <v>773</v>
      </c>
      <c r="B328" s="15" t="s">
        <v>981</v>
      </c>
      <c r="C328" s="15">
        <v>153540</v>
      </c>
      <c r="D328" s="264" t="s">
        <v>397</v>
      </c>
      <c r="E328" s="11" t="s">
        <v>12</v>
      </c>
      <c r="F328" s="53">
        <v>4</v>
      </c>
      <c r="G328" s="13">
        <v>48.93</v>
      </c>
      <c r="H328" s="322">
        <f t="shared" si="16"/>
        <v>195.72</v>
      </c>
      <c r="I328" s="174"/>
      <c r="J328" s="182"/>
      <c r="K328" s="182"/>
      <c r="L328" s="182"/>
      <c r="M328" s="182"/>
      <c r="N328" s="182"/>
      <c r="O328" s="182"/>
    </row>
    <row r="329" spans="1:19" ht="23.25" x14ac:dyDescent="0.25">
      <c r="A329" s="141" t="s">
        <v>774</v>
      </c>
      <c r="B329" s="15" t="s">
        <v>981</v>
      </c>
      <c r="C329" s="15">
        <v>89535</v>
      </c>
      <c r="D329" s="264" t="s">
        <v>396</v>
      </c>
      <c r="E329" s="11" t="s">
        <v>12</v>
      </c>
      <c r="F329" s="53">
        <v>5</v>
      </c>
      <c r="G329" s="13">
        <v>44.69</v>
      </c>
      <c r="H329" s="322">
        <f t="shared" si="16"/>
        <v>223.45</v>
      </c>
      <c r="I329" s="174"/>
      <c r="J329" s="182"/>
      <c r="K329" s="182"/>
      <c r="L329" s="182"/>
      <c r="M329" s="182"/>
      <c r="N329" s="182"/>
      <c r="O329" s="182"/>
    </row>
    <row r="330" spans="1:19" ht="23.25" x14ac:dyDescent="0.25">
      <c r="A330" s="141" t="s">
        <v>775</v>
      </c>
      <c r="B330" s="15" t="s">
        <v>981</v>
      </c>
      <c r="C330" s="15">
        <v>89582</v>
      </c>
      <c r="D330" s="264" t="s">
        <v>398</v>
      </c>
      <c r="E330" s="11" t="s">
        <v>12</v>
      </c>
      <c r="F330" s="53">
        <v>4</v>
      </c>
      <c r="G330" s="13">
        <v>36.86</v>
      </c>
      <c r="H330" s="322">
        <f t="shared" si="16"/>
        <v>147.44</v>
      </c>
      <c r="I330" s="174"/>
      <c r="J330" s="182"/>
      <c r="K330" s="182"/>
      <c r="L330" s="182"/>
      <c r="M330" s="182"/>
      <c r="N330" s="182"/>
      <c r="O330" s="182"/>
    </row>
    <row r="331" spans="1:19" ht="23.25" x14ac:dyDescent="0.25">
      <c r="A331" s="141" t="s">
        <v>776</v>
      </c>
      <c r="B331" s="15" t="s">
        <v>981</v>
      </c>
      <c r="C331" s="15">
        <v>89585</v>
      </c>
      <c r="D331" s="264" t="s">
        <v>399</v>
      </c>
      <c r="E331" s="11" t="s">
        <v>12</v>
      </c>
      <c r="F331" s="53">
        <v>10</v>
      </c>
      <c r="G331" s="13">
        <v>49.13</v>
      </c>
      <c r="H331" s="322">
        <f t="shared" si="16"/>
        <v>491.3</v>
      </c>
      <c r="I331" s="174"/>
      <c r="J331" s="182"/>
      <c r="K331" s="182"/>
      <c r="L331" s="182"/>
      <c r="M331" s="182"/>
      <c r="N331" s="182"/>
      <c r="O331" s="182"/>
    </row>
    <row r="332" spans="1:19" ht="23.25" x14ac:dyDescent="0.25">
      <c r="A332" s="141" t="s">
        <v>777</v>
      </c>
      <c r="B332" s="15" t="s">
        <v>981</v>
      </c>
      <c r="C332" s="15">
        <v>89554</v>
      </c>
      <c r="D332" s="264" t="s">
        <v>360</v>
      </c>
      <c r="E332" s="11" t="s">
        <v>12</v>
      </c>
      <c r="F332" s="53">
        <v>10</v>
      </c>
      <c r="G332" s="13">
        <v>29.06</v>
      </c>
      <c r="H332" s="322">
        <f t="shared" ref="H332:H337" si="17">G332*F332</f>
        <v>290.59999999999997</v>
      </c>
      <c r="I332" s="174"/>
      <c r="J332" s="182"/>
      <c r="K332" s="182"/>
      <c r="L332" s="182"/>
      <c r="M332" s="182"/>
      <c r="N332" s="182"/>
      <c r="O332" s="182"/>
    </row>
    <row r="333" spans="1:19" ht="23.25" x14ac:dyDescent="0.25">
      <c r="A333" s="141" t="s">
        <v>778</v>
      </c>
      <c r="B333" s="15" t="s">
        <v>981</v>
      </c>
      <c r="C333" s="15">
        <v>89547</v>
      </c>
      <c r="D333" s="264" t="s">
        <v>400</v>
      </c>
      <c r="E333" s="11" t="s">
        <v>12</v>
      </c>
      <c r="F333" s="53">
        <v>4</v>
      </c>
      <c r="G333" s="13">
        <v>23.03</v>
      </c>
      <c r="H333" s="322">
        <f t="shared" si="17"/>
        <v>92.12</v>
      </c>
      <c r="I333" s="174"/>
      <c r="J333" s="182"/>
      <c r="K333" s="182"/>
      <c r="L333" s="182"/>
      <c r="M333" s="182"/>
      <c r="N333" s="182"/>
      <c r="O333" s="182"/>
    </row>
    <row r="334" spans="1:19" ht="23.25" x14ac:dyDescent="0.25">
      <c r="A334" s="141" t="s">
        <v>779</v>
      </c>
      <c r="B334" s="15" t="s">
        <v>981</v>
      </c>
      <c r="C334" s="15">
        <v>89778</v>
      </c>
      <c r="D334" s="264" t="s">
        <v>382</v>
      </c>
      <c r="E334" s="11" t="s">
        <v>12</v>
      </c>
      <c r="F334" s="53">
        <v>3</v>
      </c>
      <c r="G334" s="13">
        <v>19.37</v>
      </c>
      <c r="H334" s="322">
        <f t="shared" si="17"/>
        <v>58.11</v>
      </c>
      <c r="I334" s="174"/>
      <c r="J334" s="182"/>
      <c r="K334" s="182"/>
      <c r="L334" s="182"/>
      <c r="M334" s="182"/>
      <c r="N334" s="182"/>
      <c r="O334" s="182"/>
    </row>
    <row r="335" spans="1:19" ht="23.25" x14ac:dyDescent="0.25">
      <c r="A335" s="141" t="s">
        <v>780</v>
      </c>
      <c r="B335" s="15" t="s">
        <v>981</v>
      </c>
      <c r="C335" s="15">
        <v>89796</v>
      </c>
      <c r="D335" s="264" t="s">
        <v>389</v>
      </c>
      <c r="E335" s="11" t="s">
        <v>12</v>
      </c>
      <c r="F335" s="53">
        <v>1</v>
      </c>
      <c r="G335" s="13">
        <v>46.46</v>
      </c>
      <c r="H335" s="322">
        <f t="shared" si="17"/>
        <v>46.46</v>
      </c>
      <c r="I335" s="174"/>
      <c r="J335" s="182"/>
      <c r="K335" s="182"/>
      <c r="L335" s="182"/>
      <c r="M335" s="182"/>
      <c r="N335" s="182"/>
      <c r="O335" s="182"/>
    </row>
    <row r="336" spans="1:19" ht="29.25" customHeight="1" x14ac:dyDescent="0.25">
      <c r="A336" s="141" t="s">
        <v>781</v>
      </c>
      <c r="B336" s="15" t="s">
        <v>981</v>
      </c>
      <c r="C336" s="15">
        <v>89746</v>
      </c>
      <c r="D336" s="54" t="s">
        <v>369</v>
      </c>
      <c r="E336" s="11" t="s">
        <v>12</v>
      </c>
      <c r="F336" s="53">
        <v>2</v>
      </c>
      <c r="G336" s="13">
        <v>30.68</v>
      </c>
      <c r="H336" s="322">
        <f t="shared" si="17"/>
        <v>61.36</v>
      </c>
      <c r="I336" s="174"/>
      <c r="J336" s="182"/>
      <c r="K336" s="182"/>
      <c r="L336" s="182"/>
      <c r="M336" s="182"/>
      <c r="N336" s="182"/>
      <c r="O336" s="182"/>
    </row>
    <row r="337" spans="1:19" ht="35.1" customHeight="1" x14ac:dyDescent="0.25">
      <c r="A337" s="141" t="s">
        <v>782</v>
      </c>
      <c r="B337" s="15" t="s">
        <v>981</v>
      </c>
      <c r="C337" s="15">
        <v>89748</v>
      </c>
      <c r="D337" s="54" t="s">
        <v>365</v>
      </c>
      <c r="E337" s="11" t="s">
        <v>12</v>
      </c>
      <c r="F337" s="53">
        <v>3</v>
      </c>
      <c r="G337" s="13">
        <v>46.15</v>
      </c>
      <c r="H337" s="322">
        <f t="shared" si="17"/>
        <v>138.44999999999999</v>
      </c>
      <c r="I337" s="174"/>
      <c r="J337" s="182"/>
      <c r="K337" s="182"/>
      <c r="L337" s="182"/>
      <c r="M337" s="182"/>
      <c r="N337" s="182"/>
      <c r="O337" s="182"/>
    </row>
    <row r="338" spans="1:19" x14ac:dyDescent="0.25">
      <c r="A338" s="367" t="s">
        <v>921</v>
      </c>
      <c r="B338" s="368"/>
      <c r="C338" s="368"/>
      <c r="D338" s="368"/>
      <c r="E338" s="368"/>
      <c r="F338" s="368"/>
      <c r="G338" s="368"/>
      <c r="H338" s="438">
        <f>SUM(H323:H337)</f>
        <v>13304.921000000002</v>
      </c>
      <c r="I338" s="174"/>
      <c r="J338" s="182"/>
      <c r="K338" s="182"/>
      <c r="L338" s="182"/>
      <c r="M338" s="182"/>
      <c r="N338" s="182"/>
      <c r="O338" s="182"/>
      <c r="S338" s="221"/>
    </row>
    <row r="339" spans="1:19" x14ac:dyDescent="0.25">
      <c r="A339" s="141" t="s">
        <v>783</v>
      </c>
      <c r="B339" s="15"/>
      <c r="C339" s="15"/>
      <c r="D339" s="8" t="s">
        <v>20</v>
      </c>
      <c r="E339" s="14"/>
      <c r="F339" s="53"/>
      <c r="G339" s="13"/>
      <c r="H339" s="329"/>
      <c r="I339" s="174"/>
      <c r="J339" s="182"/>
      <c r="K339" s="182"/>
      <c r="L339" s="182"/>
      <c r="M339" s="182"/>
      <c r="N339" s="182"/>
      <c r="O339" s="182"/>
    </row>
    <row r="340" spans="1:19" x14ac:dyDescent="0.25">
      <c r="A340" s="141" t="s">
        <v>784</v>
      </c>
      <c r="B340" s="15" t="s">
        <v>981</v>
      </c>
      <c r="C340" s="15">
        <v>86889</v>
      </c>
      <c r="D340" s="260" t="s">
        <v>401</v>
      </c>
      <c r="E340" s="11" t="s">
        <v>8</v>
      </c>
      <c r="F340" s="53">
        <v>82.86</v>
      </c>
      <c r="G340" s="13">
        <v>894.88</v>
      </c>
      <c r="H340" s="322">
        <f t="shared" ref="H340:H356" si="18">G340*F340</f>
        <v>74149.756800000003</v>
      </c>
      <c r="I340" s="174"/>
      <c r="J340" s="182"/>
      <c r="K340" s="182"/>
      <c r="L340" s="182"/>
      <c r="M340" s="182"/>
      <c r="N340" s="182"/>
      <c r="O340" s="182"/>
    </row>
    <row r="341" spans="1:19" ht="23.25" x14ac:dyDescent="0.25">
      <c r="A341" s="141" t="s">
        <v>785</v>
      </c>
      <c r="B341" s="15" t="s">
        <v>981</v>
      </c>
      <c r="C341" s="15">
        <v>86900</v>
      </c>
      <c r="D341" s="264" t="s">
        <v>402</v>
      </c>
      <c r="E341" s="11" t="s">
        <v>12</v>
      </c>
      <c r="F341" s="53">
        <v>2</v>
      </c>
      <c r="G341" s="13">
        <v>207.03</v>
      </c>
      <c r="H341" s="322">
        <f t="shared" si="18"/>
        <v>414.06</v>
      </c>
      <c r="I341" s="174"/>
      <c r="J341" s="182"/>
      <c r="K341" s="182"/>
      <c r="L341" s="182"/>
      <c r="M341" s="182"/>
      <c r="N341" s="182"/>
      <c r="O341" s="182"/>
    </row>
    <row r="342" spans="1:19" ht="23.25" x14ac:dyDescent="0.25">
      <c r="A342" s="141" t="s">
        <v>786</v>
      </c>
      <c r="B342" s="15" t="s">
        <v>981</v>
      </c>
      <c r="C342" s="15">
        <v>86901</v>
      </c>
      <c r="D342" s="264" t="s">
        <v>403</v>
      </c>
      <c r="E342" s="11" t="s">
        <v>12</v>
      </c>
      <c r="F342" s="53">
        <v>75</v>
      </c>
      <c r="G342" s="13">
        <v>145.44</v>
      </c>
      <c r="H342" s="322">
        <f t="shared" si="18"/>
        <v>10908</v>
      </c>
      <c r="I342" s="174"/>
      <c r="J342" s="182"/>
      <c r="K342" s="182"/>
      <c r="L342" s="182"/>
      <c r="M342" s="182"/>
      <c r="N342" s="182"/>
      <c r="O342" s="182"/>
    </row>
    <row r="343" spans="1:19" ht="23.25" x14ac:dyDescent="0.25">
      <c r="A343" s="141" t="s">
        <v>787</v>
      </c>
      <c r="B343" s="15" t="s">
        <v>981</v>
      </c>
      <c r="C343" s="15">
        <v>86903</v>
      </c>
      <c r="D343" s="264" t="s">
        <v>1276</v>
      </c>
      <c r="E343" s="11" t="s">
        <v>12</v>
      </c>
      <c r="F343" s="53">
        <v>3</v>
      </c>
      <c r="G343" s="13">
        <v>1098.81</v>
      </c>
      <c r="H343" s="322">
        <f t="shared" si="18"/>
        <v>3296.43</v>
      </c>
      <c r="I343" s="174"/>
      <c r="J343" s="182"/>
      <c r="K343" s="182"/>
      <c r="L343" s="182"/>
      <c r="M343" s="182"/>
      <c r="N343" s="182"/>
      <c r="O343" s="182"/>
    </row>
    <row r="344" spans="1:19" ht="23.25" x14ac:dyDescent="0.25">
      <c r="A344" s="141" t="s">
        <v>788</v>
      </c>
      <c r="B344" s="15" t="s">
        <v>981</v>
      </c>
      <c r="C344" s="15">
        <v>86906</v>
      </c>
      <c r="D344" s="264" t="s">
        <v>404</v>
      </c>
      <c r="E344" s="11" t="s">
        <v>12</v>
      </c>
      <c r="F344" s="53">
        <v>78</v>
      </c>
      <c r="G344" s="13">
        <v>75.77</v>
      </c>
      <c r="H344" s="322">
        <f t="shared" si="18"/>
        <v>5910.0599999999995</v>
      </c>
      <c r="I344" s="174"/>
      <c r="J344" s="182"/>
      <c r="K344" s="182"/>
      <c r="L344" s="182"/>
      <c r="M344" s="182"/>
      <c r="N344" s="182"/>
      <c r="O344" s="182"/>
    </row>
    <row r="345" spans="1:19" ht="23.25" x14ac:dyDescent="0.25">
      <c r="A345" s="141" t="s">
        <v>789</v>
      </c>
      <c r="B345" s="15" t="s">
        <v>981</v>
      </c>
      <c r="C345" s="15">
        <v>86909</v>
      </c>
      <c r="D345" s="264" t="s">
        <v>405</v>
      </c>
      <c r="E345" s="11" t="s">
        <v>12</v>
      </c>
      <c r="F345" s="53">
        <v>9</v>
      </c>
      <c r="G345" s="13">
        <v>131.61000000000001</v>
      </c>
      <c r="H345" s="322">
        <f t="shared" si="18"/>
        <v>1184.4900000000002</v>
      </c>
      <c r="I345" s="174"/>
      <c r="J345" s="182"/>
      <c r="K345" s="182"/>
      <c r="L345" s="182"/>
      <c r="M345" s="182"/>
      <c r="N345" s="182"/>
      <c r="O345" s="182"/>
    </row>
    <row r="346" spans="1:19" x14ac:dyDescent="0.25">
      <c r="A346" s="141" t="s">
        <v>790</v>
      </c>
      <c r="B346" s="15" t="s">
        <v>982</v>
      </c>
      <c r="C346" s="15" t="s">
        <v>1044</v>
      </c>
      <c r="D346" s="260" t="s">
        <v>406</v>
      </c>
      <c r="E346" s="11" t="s">
        <v>12</v>
      </c>
      <c r="F346" s="53">
        <v>2</v>
      </c>
      <c r="G346" s="13">
        <v>1985.35</v>
      </c>
      <c r="H346" s="322">
        <f t="shared" si="18"/>
        <v>3970.7</v>
      </c>
      <c r="I346" s="178"/>
      <c r="J346" s="182"/>
      <c r="K346" s="182"/>
      <c r="L346" s="182"/>
      <c r="M346" s="182"/>
      <c r="N346" s="182"/>
      <c r="O346" s="182"/>
      <c r="R346" s="241"/>
    </row>
    <row r="347" spans="1:19" ht="23.25" x14ac:dyDescent="0.25">
      <c r="A347" s="141" t="s">
        <v>791</v>
      </c>
      <c r="B347" s="15" t="s">
        <v>981</v>
      </c>
      <c r="C347" s="15">
        <v>86932</v>
      </c>
      <c r="D347" s="264" t="s">
        <v>407</v>
      </c>
      <c r="E347" s="11" t="s">
        <v>12</v>
      </c>
      <c r="F347" s="53">
        <v>24</v>
      </c>
      <c r="G347" s="13">
        <v>510.61</v>
      </c>
      <c r="H347" s="322">
        <f t="shared" si="18"/>
        <v>12254.64</v>
      </c>
      <c r="I347" s="174"/>
      <c r="J347" s="182"/>
      <c r="K347" s="182"/>
      <c r="L347" s="182"/>
      <c r="M347" s="182"/>
      <c r="N347" s="182"/>
      <c r="O347" s="182"/>
    </row>
    <row r="348" spans="1:19" ht="23.25" x14ac:dyDescent="0.25">
      <c r="A348" s="141" t="s">
        <v>792</v>
      </c>
      <c r="B348" s="15" t="s">
        <v>981</v>
      </c>
      <c r="C348" s="15">
        <v>95471</v>
      </c>
      <c r="D348" s="264" t="s">
        <v>408</v>
      </c>
      <c r="E348" s="11" t="s">
        <v>12</v>
      </c>
      <c r="F348" s="53">
        <v>8</v>
      </c>
      <c r="G348" s="13">
        <v>719.19</v>
      </c>
      <c r="H348" s="322">
        <f t="shared" si="18"/>
        <v>5753.52</v>
      </c>
      <c r="I348" s="174"/>
      <c r="J348" s="182"/>
      <c r="K348" s="182"/>
      <c r="L348" s="182"/>
      <c r="M348" s="182"/>
      <c r="N348" s="182"/>
      <c r="O348" s="182"/>
    </row>
    <row r="349" spans="1:19" x14ac:dyDescent="0.25">
      <c r="A349" s="141" t="s">
        <v>793</v>
      </c>
      <c r="B349" s="15" t="s">
        <v>981</v>
      </c>
      <c r="C349" s="15">
        <v>95542</v>
      </c>
      <c r="D349" s="260" t="s">
        <v>142</v>
      </c>
      <c r="E349" s="11" t="s">
        <v>12</v>
      </c>
      <c r="F349" s="53">
        <v>47</v>
      </c>
      <c r="G349" s="13">
        <v>50.38</v>
      </c>
      <c r="H349" s="322">
        <f t="shared" si="18"/>
        <v>2367.86</v>
      </c>
      <c r="I349" s="174"/>
      <c r="J349" s="182"/>
      <c r="K349" s="182"/>
      <c r="L349" s="182"/>
      <c r="M349" s="182"/>
      <c r="N349" s="182"/>
      <c r="O349" s="182"/>
    </row>
    <row r="350" spans="1:19" x14ac:dyDescent="0.25">
      <c r="A350" s="141" t="s">
        <v>794</v>
      </c>
      <c r="B350" s="15" t="s">
        <v>981</v>
      </c>
      <c r="C350" s="15">
        <v>95544</v>
      </c>
      <c r="D350" s="260" t="s">
        <v>143</v>
      </c>
      <c r="E350" s="11" t="s">
        <v>12</v>
      </c>
      <c r="F350" s="53">
        <v>32</v>
      </c>
      <c r="G350" s="13">
        <v>61.74</v>
      </c>
      <c r="H350" s="322">
        <f t="shared" si="18"/>
        <v>1975.68</v>
      </c>
      <c r="I350" s="174"/>
      <c r="J350" s="182"/>
      <c r="K350" s="182"/>
      <c r="L350" s="182"/>
      <c r="M350" s="182"/>
      <c r="N350" s="182"/>
      <c r="O350" s="182"/>
    </row>
    <row r="351" spans="1:19" ht="23.25" x14ac:dyDescent="0.25">
      <c r="A351" s="141" t="s">
        <v>795</v>
      </c>
      <c r="B351" s="15" t="s">
        <v>981</v>
      </c>
      <c r="C351" s="15">
        <v>95547</v>
      </c>
      <c r="D351" s="264" t="s">
        <v>409</v>
      </c>
      <c r="E351" s="11" t="s">
        <v>12</v>
      </c>
      <c r="F351" s="53">
        <v>55</v>
      </c>
      <c r="G351" s="13">
        <v>75.099999999999994</v>
      </c>
      <c r="H351" s="322">
        <f t="shared" si="18"/>
        <v>4130.5</v>
      </c>
      <c r="I351" s="174"/>
      <c r="J351" s="182"/>
      <c r="K351" s="182"/>
      <c r="L351" s="182"/>
      <c r="M351" s="182"/>
      <c r="N351" s="182"/>
      <c r="O351" s="182"/>
    </row>
    <row r="352" spans="1:19" ht="23.25" x14ac:dyDescent="0.25">
      <c r="A352" s="141" t="s">
        <v>796</v>
      </c>
      <c r="B352" s="15" t="s">
        <v>981</v>
      </c>
      <c r="C352" s="15">
        <v>102258</v>
      </c>
      <c r="D352" s="264" t="s">
        <v>411</v>
      </c>
      <c r="E352" s="11" t="s">
        <v>6</v>
      </c>
      <c r="F352" s="53">
        <v>4.8</v>
      </c>
      <c r="G352" s="13">
        <v>401.39</v>
      </c>
      <c r="H352" s="322">
        <f t="shared" si="18"/>
        <v>1926.6719999999998</v>
      </c>
      <c r="I352" s="174"/>
      <c r="J352" s="182"/>
      <c r="K352" s="182"/>
      <c r="L352" s="182"/>
      <c r="M352" s="182"/>
      <c r="N352" s="182"/>
      <c r="O352" s="182"/>
    </row>
    <row r="353" spans="1:49" ht="23.25" x14ac:dyDescent="0.25">
      <c r="A353" s="141" t="s">
        <v>797</v>
      </c>
      <c r="B353" s="15" t="s">
        <v>981</v>
      </c>
      <c r="C353" s="15">
        <v>102257</v>
      </c>
      <c r="D353" s="264" t="s">
        <v>412</v>
      </c>
      <c r="E353" s="11" t="s">
        <v>6</v>
      </c>
      <c r="F353" s="53">
        <v>43.28</v>
      </c>
      <c r="G353" s="13">
        <v>343.26</v>
      </c>
      <c r="H353" s="322">
        <f t="shared" si="18"/>
        <v>14856.292799999999</v>
      </c>
      <c r="I353" s="174"/>
      <c r="J353" s="182"/>
      <c r="K353" s="182"/>
      <c r="L353" s="182"/>
      <c r="M353" s="182"/>
      <c r="N353" s="182"/>
      <c r="O353" s="182"/>
    </row>
    <row r="354" spans="1:49" s="130" customFormat="1" ht="30" customHeight="1" x14ac:dyDescent="0.25">
      <c r="A354" s="142" t="s">
        <v>798</v>
      </c>
      <c r="B354" s="124" t="s">
        <v>981</v>
      </c>
      <c r="C354" s="124">
        <v>100858</v>
      </c>
      <c r="D354" s="47" t="s">
        <v>410</v>
      </c>
      <c r="E354" s="84" t="s">
        <v>12</v>
      </c>
      <c r="F354" s="285">
        <v>8</v>
      </c>
      <c r="G354" s="293">
        <v>685.91</v>
      </c>
      <c r="H354" s="322">
        <f t="shared" si="18"/>
        <v>5487.28</v>
      </c>
      <c r="I354" s="185"/>
      <c r="J354" s="242"/>
      <c r="K354" s="242"/>
      <c r="L354" s="242"/>
      <c r="M354" s="242"/>
      <c r="N354" s="242"/>
      <c r="O354" s="242"/>
      <c r="P354" s="243"/>
      <c r="Q354" s="243"/>
      <c r="R354" s="207"/>
      <c r="S354" s="209"/>
      <c r="T354" s="243"/>
      <c r="U354" s="243"/>
      <c r="V354" s="243"/>
      <c r="W354" s="243"/>
      <c r="X354" s="243"/>
      <c r="Y354" s="243"/>
      <c r="Z354" s="243"/>
      <c r="AA354" s="243"/>
      <c r="AB354" s="243"/>
      <c r="AC354" s="243"/>
      <c r="AD354" s="243"/>
      <c r="AE354" s="243"/>
      <c r="AF354" s="243"/>
      <c r="AG354" s="243"/>
      <c r="AH354" s="243"/>
      <c r="AI354" s="243"/>
      <c r="AJ354" s="243"/>
      <c r="AK354" s="243"/>
      <c r="AL354" s="243"/>
      <c r="AM354" s="243"/>
      <c r="AN354" s="243"/>
      <c r="AO354" s="243"/>
      <c r="AP354" s="243"/>
      <c r="AQ354" s="243"/>
      <c r="AR354" s="243"/>
      <c r="AS354" s="243"/>
      <c r="AT354" s="243"/>
      <c r="AU354" s="243"/>
      <c r="AV354" s="243"/>
      <c r="AW354" s="243"/>
    </row>
    <row r="355" spans="1:49" ht="23.25" x14ac:dyDescent="0.25">
      <c r="A355" s="141" t="s">
        <v>799</v>
      </c>
      <c r="B355" s="15" t="s">
        <v>981</v>
      </c>
      <c r="C355" s="15">
        <v>100868</v>
      </c>
      <c r="D355" s="264" t="s">
        <v>413</v>
      </c>
      <c r="E355" s="11" t="s">
        <v>12</v>
      </c>
      <c r="F355" s="53">
        <v>88</v>
      </c>
      <c r="G355" s="13">
        <v>375.97</v>
      </c>
      <c r="H355" s="322">
        <f t="shared" si="18"/>
        <v>33085.360000000001</v>
      </c>
      <c r="I355" s="174"/>
      <c r="J355" s="182"/>
      <c r="K355" s="182"/>
      <c r="L355" s="182"/>
      <c r="M355" s="182"/>
      <c r="N355" s="182"/>
      <c r="O355" s="182"/>
    </row>
    <row r="356" spans="1:49" ht="23.25" x14ac:dyDescent="0.25">
      <c r="A356" s="141" t="s">
        <v>800</v>
      </c>
      <c r="B356" s="15" t="s">
        <v>981</v>
      </c>
      <c r="C356" s="15">
        <v>100860</v>
      </c>
      <c r="D356" s="264" t="s">
        <v>414</v>
      </c>
      <c r="E356" s="11" t="s">
        <v>12</v>
      </c>
      <c r="F356" s="53">
        <v>8</v>
      </c>
      <c r="G356" s="13">
        <v>103.74</v>
      </c>
      <c r="H356" s="322">
        <f t="shared" si="18"/>
        <v>829.92</v>
      </c>
      <c r="I356" s="174"/>
      <c r="J356" s="182"/>
      <c r="K356" s="182"/>
      <c r="L356" s="182"/>
      <c r="M356" s="182"/>
      <c r="N356" s="182"/>
      <c r="O356" s="182"/>
    </row>
    <row r="357" spans="1:49" x14ac:dyDescent="0.25">
      <c r="A357" s="367" t="s">
        <v>922</v>
      </c>
      <c r="B357" s="368"/>
      <c r="C357" s="368"/>
      <c r="D357" s="368"/>
      <c r="E357" s="368"/>
      <c r="F357" s="368"/>
      <c r="G357" s="368"/>
      <c r="H357" s="438">
        <f>SUM(H340:H356)</f>
        <v>182501.22160000002</v>
      </c>
      <c r="I357" s="174"/>
      <c r="J357" s="182"/>
      <c r="K357" s="182"/>
      <c r="L357" s="182"/>
      <c r="M357" s="182"/>
      <c r="N357" s="182"/>
      <c r="O357" s="182"/>
      <c r="S357" s="221"/>
    </row>
    <row r="358" spans="1:49" ht="14.25" customHeight="1" x14ac:dyDescent="0.25">
      <c r="A358" s="141" t="s">
        <v>801</v>
      </c>
      <c r="B358" s="15"/>
      <c r="C358" s="15"/>
      <c r="D358" s="8" t="s">
        <v>415</v>
      </c>
      <c r="E358" s="14"/>
      <c r="F358" s="53"/>
      <c r="G358" s="13"/>
      <c r="H358" s="329"/>
      <c r="I358" s="174"/>
      <c r="J358" s="182"/>
      <c r="K358" s="182"/>
      <c r="L358" s="182"/>
      <c r="M358" s="182"/>
      <c r="N358" s="182"/>
      <c r="O358" s="182"/>
    </row>
    <row r="359" spans="1:49" ht="23.25" x14ac:dyDescent="0.25">
      <c r="A359" s="141" t="s">
        <v>802</v>
      </c>
      <c r="B359" s="15" t="s">
        <v>981</v>
      </c>
      <c r="C359" s="15">
        <v>94648</v>
      </c>
      <c r="D359" s="264" t="s">
        <v>307</v>
      </c>
      <c r="E359" s="11" t="s">
        <v>8</v>
      </c>
      <c r="F359" s="53">
        <v>238.36</v>
      </c>
      <c r="G359" s="13">
        <v>13.09</v>
      </c>
      <c r="H359" s="322">
        <f t="shared" ref="H359:H365" si="19">G359*F359</f>
        <v>3120.1324</v>
      </c>
      <c r="I359" s="175"/>
      <c r="J359" s="182"/>
      <c r="K359" s="182"/>
      <c r="L359" s="182"/>
      <c r="M359" s="182"/>
      <c r="N359" s="182"/>
      <c r="O359" s="182"/>
    </row>
    <row r="360" spans="1:49" ht="23.25" x14ac:dyDescent="0.25">
      <c r="A360" s="141" t="s">
        <v>803</v>
      </c>
      <c r="B360" s="15" t="s">
        <v>981</v>
      </c>
      <c r="C360" s="15">
        <v>104014</v>
      </c>
      <c r="D360" s="264" t="s">
        <v>416</v>
      </c>
      <c r="E360" s="11" t="s">
        <v>12</v>
      </c>
      <c r="F360" s="53">
        <v>51</v>
      </c>
      <c r="G360" s="13">
        <v>11.11</v>
      </c>
      <c r="H360" s="322">
        <f t="shared" si="19"/>
        <v>566.61</v>
      </c>
      <c r="I360" s="175"/>
      <c r="J360" s="182"/>
      <c r="K360" s="182"/>
      <c r="L360" s="182"/>
      <c r="M360" s="182"/>
      <c r="N360" s="182"/>
      <c r="O360" s="182"/>
    </row>
    <row r="361" spans="1:49" ht="23.25" x14ac:dyDescent="0.25">
      <c r="A361" s="141" t="s">
        <v>804</v>
      </c>
      <c r="B361" s="15" t="s">
        <v>981</v>
      </c>
      <c r="C361" s="15">
        <v>89363</v>
      </c>
      <c r="D361" s="264" t="s">
        <v>338</v>
      </c>
      <c r="E361" s="11" t="s">
        <v>12</v>
      </c>
      <c r="F361" s="53">
        <v>42</v>
      </c>
      <c r="G361" s="13">
        <v>11.78</v>
      </c>
      <c r="H361" s="322">
        <f t="shared" si="19"/>
        <v>494.76</v>
      </c>
      <c r="I361" s="175"/>
      <c r="J361" s="182"/>
      <c r="K361" s="182"/>
      <c r="L361" s="182"/>
      <c r="M361" s="182"/>
      <c r="N361" s="182"/>
      <c r="O361" s="182"/>
    </row>
    <row r="362" spans="1:49" ht="23.25" x14ac:dyDescent="0.25">
      <c r="A362" s="141" t="s">
        <v>805</v>
      </c>
      <c r="B362" s="15" t="s">
        <v>981</v>
      </c>
      <c r="C362" s="15">
        <v>89362</v>
      </c>
      <c r="D362" s="264" t="s">
        <v>337</v>
      </c>
      <c r="E362" s="11" t="s">
        <v>12</v>
      </c>
      <c r="F362" s="53">
        <v>80</v>
      </c>
      <c r="G362" s="13">
        <v>10.66</v>
      </c>
      <c r="H362" s="322">
        <f t="shared" si="19"/>
        <v>852.8</v>
      </c>
      <c r="I362" s="175"/>
      <c r="J362" s="182"/>
      <c r="K362" s="182"/>
      <c r="L362" s="182"/>
      <c r="M362" s="182"/>
      <c r="N362" s="182"/>
      <c r="O362" s="182"/>
    </row>
    <row r="363" spans="1:49" ht="23.25" x14ac:dyDescent="0.25">
      <c r="A363" s="141" t="s">
        <v>806</v>
      </c>
      <c r="B363" s="15" t="s">
        <v>981</v>
      </c>
      <c r="C363" s="15">
        <v>90373</v>
      </c>
      <c r="D363" s="264" t="s">
        <v>336</v>
      </c>
      <c r="E363" s="11" t="s">
        <v>12</v>
      </c>
      <c r="F363" s="53">
        <v>58</v>
      </c>
      <c r="G363" s="13">
        <v>18.57</v>
      </c>
      <c r="H363" s="322">
        <f t="shared" si="19"/>
        <v>1077.06</v>
      </c>
      <c r="I363" s="175"/>
      <c r="J363" s="182"/>
      <c r="K363" s="182"/>
      <c r="L363" s="182"/>
      <c r="M363" s="182"/>
      <c r="N363" s="182"/>
      <c r="O363" s="182"/>
    </row>
    <row r="364" spans="1:49" ht="23.25" x14ac:dyDescent="0.25">
      <c r="A364" s="141" t="s">
        <v>807</v>
      </c>
      <c r="B364" s="15" t="s">
        <v>981</v>
      </c>
      <c r="C364" s="15">
        <v>94688</v>
      </c>
      <c r="D364" s="264" t="s">
        <v>342</v>
      </c>
      <c r="E364" s="11" t="s">
        <v>12</v>
      </c>
      <c r="F364" s="53">
        <v>2</v>
      </c>
      <c r="G364" s="13">
        <v>13.19</v>
      </c>
      <c r="H364" s="322">
        <f t="shared" si="19"/>
        <v>26.38</v>
      </c>
      <c r="I364" s="175"/>
      <c r="J364" s="182"/>
      <c r="K364" s="182"/>
      <c r="L364" s="182"/>
      <c r="M364" s="182"/>
      <c r="N364" s="182"/>
      <c r="O364" s="182"/>
    </row>
    <row r="365" spans="1:49" ht="23.25" x14ac:dyDescent="0.25">
      <c r="A365" s="141" t="s">
        <v>808</v>
      </c>
      <c r="B365" s="15" t="s">
        <v>981</v>
      </c>
      <c r="C365" s="15">
        <v>89396</v>
      </c>
      <c r="D365" s="264" t="s">
        <v>346</v>
      </c>
      <c r="E365" s="11" t="s">
        <v>12</v>
      </c>
      <c r="F365" s="53">
        <v>2</v>
      </c>
      <c r="G365" s="13">
        <v>25.94</v>
      </c>
      <c r="H365" s="322">
        <f t="shared" si="19"/>
        <v>51.88</v>
      </c>
      <c r="I365" s="175"/>
      <c r="J365" s="182"/>
      <c r="K365" s="182"/>
      <c r="L365" s="182"/>
      <c r="M365" s="182"/>
      <c r="N365" s="182"/>
      <c r="O365" s="182"/>
    </row>
    <row r="366" spans="1:49" x14ac:dyDescent="0.25">
      <c r="A366" s="367" t="s">
        <v>923</v>
      </c>
      <c r="B366" s="368"/>
      <c r="C366" s="368"/>
      <c r="D366" s="368"/>
      <c r="E366" s="368"/>
      <c r="F366" s="368"/>
      <c r="G366" s="368"/>
      <c r="H366" s="438">
        <f>SUM(H359:H365)</f>
        <v>6189.6224000000002</v>
      </c>
      <c r="I366" s="174"/>
      <c r="J366" s="182"/>
      <c r="K366" s="182"/>
      <c r="L366" s="182"/>
      <c r="M366" s="182"/>
      <c r="N366" s="182"/>
      <c r="O366" s="182"/>
      <c r="S366" s="221"/>
    </row>
    <row r="367" spans="1:49" x14ac:dyDescent="0.25">
      <c r="A367" s="141" t="s">
        <v>809</v>
      </c>
      <c r="B367" s="15"/>
      <c r="C367" s="15"/>
      <c r="D367" s="8" t="s">
        <v>417</v>
      </c>
      <c r="E367" s="14"/>
      <c r="F367" s="53"/>
      <c r="G367" s="13"/>
      <c r="H367" s="329"/>
      <c r="I367" s="174"/>
      <c r="J367" s="182"/>
      <c r="K367" s="182"/>
      <c r="L367" s="182"/>
      <c r="M367" s="182"/>
      <c r="N367" s="182"/>
      <c r="O367" s="182"/>
    </row>
    <row r="368" spans="1:49" ht="23.25" x14ac:dyDescent="0.25">
      <c r="A368" s="141" t="s">
        <v>810</v>
      </c>
      <c r="B368" s="15" t="s">
        <v>981</v>
      </c>
      <c r="C368" s="15">
        <v>12713</v>
      </c>
      <c r="D368" s="264" t="s">
        <v>418</v>
      </c>
      <c r="E368" s="11" t="s">
        <v>8</v>
      </c>
      <c r="F368" s="53">
        <v>18.39</v>
      </c>
      <c r="G368" s="115">
        <v>39.5</v>
      </c>
      <c r="H368" s="322">
        <f t="shared" ref="H368:H380" si="20">G368*F368</f>
        <v>726.40499999999997</v>
      </c>
      <c r="I368" s="175"/>
      <c r="J368" s="182"/>
      <c r="K368" s="182"/>
      <c r="L368" s="182"/>
      <c r="M368" s="182"/>
      <c r="N368" s="182"/>
      <c r="O368" s="182"/>
    </row>
    <row r="369" spans="1:19" ht="23.25" x14ac:dyDescent="0.25">
      <c r="A369" s="141" t="s">
        <v>811</v>
      </c>
      <c r="B369" s="15" t="s">
        <v>981</v>
      </c>
      <c r="C369" s="15">
        <v>92275</v>
      </c>
      <c r="D369" s="264" t="s">
        <v>419</v>
      </c>
      <c r="E369" s="11" t="s">
        <v>8</v>
      </c>
      <c r="F369" s="53">
        <v>22.84</v>
      </c>
      <c r="G369" s="115">
        <v>55.79</v>
      </c>
      <c r="H369" s="322">
        <f t="shared" si="20"/>
        <v>1274.2436</v>
      </c>
      <c r="I369" s="182"/>
      <c r="J369" s="182"/>
      <c r="K369" s="182"/>
      <c r="L369" s="182"/>
      <c r="M369" s="182"/>
      <c r="N369" s="182"/>
      <c r="O369" s="182"/>
    </row>
    <row r="370" spans="1:19" ht="23.25" x14ac:dyDescent="0.25">
      <c r="A370" s="141" t="s">
        <v>812</v>
      </c>
      <c r="B370" s="15" t="s">
        <v>981</v>
      </c>
      <c r="C370" s="15">
        <v>92311</v>
      </c>
      <c r="D370" s="264" t="s">
        <v>420</v>
      </c>
      <c r="E370" s="11" t="s">
        <v>12</v>
      </c>
      <c r="F370" s="53">
        <v>5</v>
      </c>
      <c r="G370" s="13">
        <v>14.92</v>
      </c>
      <c r="H370" s="322">
        <f t="shared" si="20"/>
        <v>74.599999999999994</v>
      </c>
      <c r="I370" s="175"/>
      <c r="J370" s="182"/>
      <c r="K370" s="182"/>
      <c r="L370" s="182"/>
      <c r="M370" s="182"/>
      <c r="N370" s="182"/>
      <c r="O370" s="182"/>
    </row>
    <row r="371" spans="1:19" ht="23.25" x14ac:dyDescent="0.25">
      <c r="A371" s="141" t="s">
        <v>813</v>
      </c>
      <c r="B371" s="15" t="s">
        <v>981</v>
      </c>
      <c r="C371" s="15">
        <v>92312</v>
      </c>
      <c r="D371" s="264" t="s">
        <v>546</v>
      </c>
      <c r="E371" s="11" t="s">
        <v>12</v>
      </c>
      <c r="F371" s="53">
        <v>1</v>
      </c>
      <c r="G371" s="13">
        <v>24.03</v>
      </c>
      <c r="H371" s="322">
        <f t="shared" si="20"/>
        <v>24.03</v>
      </c>
      <c r="I371" s="175"/>
      <c r="J371" s="182"/>
      <c r="K371" s="182"/>
      <c r="L371" s="182"/>
      <c r="M371" s="182"/>
      <c r="N371" s="182"/>
      <c r="O371" s="182"/>
    </row>
    <row r="372" spans="1:19" ht="23.25" x14ac:dyDescent="0.25">
      <c r="A372" s="141" t="s">
        <v>814</v>
      </c>
      <c r="B372" s="15" t="s">
        <v>981</v>
      </c>
      <c r="C372" s="15">
        <v>93085</v>
      </c>
      <c r="D372" s="264" t="s">
        <v>421</v>
      </c>
      <c r="E372" s="11" t="s">
        <v>12</v>
      </c>
      <c r="F372" s="53">
        <v>6</v>
      </c>
      <c r="G372" s="115">
        <v>17.39</v>
      </c>
      <c r="H372" s="322">
        <f t="shared" si="20"/>
        <v>104.34</v>
      </c>
      <c r="I372" s="184"/>
      <c r="J372" s="182"/>
      <c r="K372" s="182"/>
      <c r="L372" s="182"/>
      <c r="M372" s="182"/>
      <c r="N372" s="182"/>
      <c r="O372" s="182"/>
    </row>
    <row r="373" spans="1:19" ht="23.25" x14ac:dyDescent="0.25">
      <c r="A373" s="141" t="s">
        <v>815</v>
      </c>
      <c r="B373" s="15" t="s">
        <v>981</v>
      </c>
      <c r="C373" s="15">
        <v>92318</v>
      </c>
      <c r="D373" s="264" t="s">
        <v>422</v>
      </c>
      <c r="E373" s="11" t="s">
        <v>12</v>
      </c>
      <c r="F373" s="53">
        <v>3</v>
      </c>
      <c r="G373" s="115">
        <v>31.76</v>
      </c>
      <c r="H373" s="322">
        <f t="shared" si="20"/>
        <v>95.28</v>
      </c>
      <c r="I373" s="184"/>
      <c r="J373" s="182"/>
      <c r="K373" s="182"/>
      <c r="L373" s="182"/>
      <c r="M373" s="182"/>
      <c r="N373" s="182"/>
      <c r="O373" s="182"/>
    </row>
    <row r="374" spans="1:19" x14ac:dyDescent="0.25">
      <c r="A374" s="141" t="s">
        <v>816</v>
      </c>
      <c r="B374" s="15" t="s">
        <v>981</v>
      </c>
      <c r="C374" s="15">
        <v>103029</v>
      </c>
      <c r="D374" s="264" t="s">
        <v>423</v>
      </c>
      <c r="E374" s="11" t="s">
        <v>12</v>
      </c>
      <c r="F374" s="53">
        <v>2</v>
      </c>
      <c r="G374" s="13">
        <v>38.659999999999997</v>
      </c>
      <c r="H374" s="322">
        <f t="shared" si="20"/>
        <v>77.319999999999993</v>
      </c>
      <c r="I374" s="175"/>
      <c r="J374" s="182"/>
      <c r="K374" s="182"/>
      <c r="L374" s="182"/>
      <c r="M374" s="182"/>
      <c r="N374" s="182"/>
      <c r="O374" s="182"/>
    </row>
    <row r="375" spans="1:19" ht="23.25" x14ac:dyDescent="0.25">
      <c r="A375" s="141" t="s">
        <v>817</v>
      </c>
      <c r="B375" s="15" t="s">
        <v>982</v>
      </c>
      <c r="C375" s="15" t="s">
        <v>1207</v>
      </c>
      <c r="D375" s="264" t="s">
        <v>1050</v>
      </c>
      <c r="E375" s="11" t="s">
        <v>12</v>
      </c>
      <c r="F375" s="53">
        <v>1</v>
      </c>
      <c r="G375" s="115">
        <v>398.58</v>
      </c>
      <c r="H375" s="325">
        <f t="shared" si="20"/>
        <v>398.58</v>
      </c>
      <c r="I375" s="183"/>
      <c r="J375" s="182"/>
      <c r="K375" s="182"/>
      <c r="L375" s="182"/>
      <c r="M375" s="182"/>
      <c r="N375" s="182"/>
      <c r="O375" s="182"/>
      <c r="R375" s="235"/>
    </row>
    <row r="376" spans="1:19" x14ac:dyDescent="0.25">
      <c r="A376" s="141" t="s">
        <v>1045</v>
      </c>
      <c r="B376" s="15" t="s">
        <v>982</v>
      </c>
      <c r="C376" s="15" t="s">
        <v>1051</v>
      </c>
      <c r="D376" s="264" t="s">
        <v>1052</v>
      </c>
      <c r="E376" s="11" t="s">
        <v>12</v>
      </c>
      <c r="F376" s="53">
        <v>4</v>
      </c>
      <c r="G376" s="13">
        <v>944.5</v>
      </c>
      <c r="H376" s="322">
        <f t="shared" si="20"/>
        <v>3778</v>
      </c>
      <c r="I376" s="176"/>
      <c r="J376" s="182"/>
      <c r="K376" s="182"/>
      <c r="L376" s="182"/>
      <c r="M376" s="182"/>
      <c r="N376" s="182"/>
      <c r="O376" s="182"/>
      <c r="R376" s="235"/>
    </row>
    <row r="377" spans="1:19" ht="23.25" x14ac:dyDescent="0.25">
      <c r="A377" s="141" t="s">
        <v>1046</v>
      </c>
      <c r="B377" s="15" t="s">
        <v>982</v>
      </c>
      <c r="C377" s="1" t="s">
        <v>1175</v>
      </c>
      <c r="D377" s="264" t="s">
        <v>1053</v>
      </c>
      <c r="E377" s="11" t="s">
        <v>12</v>
      </c>
      <c r="F377" s="53">
        <v>4</v>
      </c>
      <c r="G377" s="115">
        <v>45.36</v>
      </c>
      <c r="H377" s="322">
        <f t="shared" si="20"/>
        <v>181.44</v>
      </c>
      <c r="I377" s="176"/>
      <c r="J377" s="188"/>
      <c r="K377" s="182"/>
      <c r="L377" s="182"/>
      <c r="M377" s="182"/>
      <c r="N377" s="182"/>
      <c r="O377" s="182"/>
      <c r="R377" s="235"/>
    </row>
    <row r="378" spans="1:19" ht="23.25" x14ac:dyDescent="0.25">
      <c r="A378" s="141" t="s">
        <v>1047</v>
      </c>
      <c r="B378" s="15" t="s">
        <v>981</v>
      </c>
      <c r="C378" s="15">
        <v>103008</v>
      </c>
      <c r="D378" s="264" t="s">
        <v>1054</v>
      </c>
      <c r="E378" s="11" t="s">
        <v>12</v>
      </c>
      <c r="F378" s="53">
        <v>4</v>
      </c>
      <c r="G378" s="13">
        <v>97.85</v>
      </c>
      <c r="H378" s="322">
        <f t="shared" si="20"/>
        <v>391.4</v>
      </c>
      <c r="I378" s="175"/>
      <c r="J378" s="182"/>
      <c r="K378" s="182"/>
      <c r="L378" s="182"/>
      <c r="M378" s="182"/>
      <c r="N378" s="182"/>
      <c r="O378" s="182"/>
    </row>
    <row r="379" spans="1:19" ht="23.25" x14ac:dyDescent="0.25">
      <c r="A379" s="141" t="s">
        <v>1048</v>
      </c>
      <c r="B379" s="15" t="s">
        <v>981</v>
      </c>
      <c r="C379" s="146">
        <v>101917</v>
      </c>
      <c r="D379" s="264" t="s">
        <v>1055</v>
      </c>
      <c r="E379" s="11" t="s">
        <v>12</v>
      </c>
      <c r="F379" s="53">
        <v>1</v>
      </c>
      <c r="G379" s="115">
        <v>168.61</v>
      </c>
      <c r="H379" s="322">
        <f t="shared" si="20"/>
        <v>168.61</v>
      </c>
      <c r="I379" s="184"/>
      <c r="K379" s="182"/>
      <c r="L379" s="182"/>
      <c r="M379" s="182"/>
      <c r="N379" s="182"/>
      <c r="O379" s="182"/>
    </row>
    <row r="380" spans="1:19" ht="23.25" x14ac:dyDescent="0.25">
      <c r="A380" s="141" t="s">
        <v>1049</v>
      </c>
      <c r="B380" s="15" t="s">
        <v>982</v>
      </c>
      <c r="C380" s="15" t="s">
        <v>1109</v>
      </c>
      <c r="D380" s="264" t="s">
        <v>1108</v>
      </c>
      <c r="E380" s="11" t="s">
        <v>12</v>
      </c>
      <c r="F380" s="53">
        <v>5</v>
      </c>
      <c r="G380" s="13">
        <v>85.33</v>
      </c>
      <c r="H380" s="322">
        <f t="shared" si="20"/>
        <v>426.65</v>
      </c>
      <c r="I380" s="176"/>
      <c r="J380" s="182"/>
      <c r="K380" s="182"/>
      <c r="L380" s="182"/>
      <c r="M380" s="182"/>
      <c r="N380" s="182"/>
      <c r="O380" s="182"/>
      <c r="R380" s="235"/>
    </row>
    <row r="381" spans="1:19" ht="28.5" customHeight="1" x14ac:dyDescent="0.25">
      <c r="A381" s="367" t="s">
        <v>924</v>
      </c>
      <c r="B381" s="368"/>
      <c r="C381" s="368"/>
      <c r="D381" s="368"/>
      <c r="E381" s="368"/>
      <c r="F381" s="368"/>
      <c r="G381" s="368"/>
      <c r="H381" s="333">
        <f>SUM(H368:H380)</f>
        <v>7720.8985999999986</v>
      </c>
      <c r="I381" s="174"/>
      <c r="J381" s="182"/>
      <c r="K381" s="182"/>
      <c r="L381" s="182"/>
      <c r="M381" s="182"/>
      <c r="N381" s="182"/>
      <c r="O381" s="182"/>
      <c r="S381" s="221"/>
    </row>
    <row r="382" spans="1:19" x14ac:dyDescent="0.25">
      <c r="A382" s="359" t="s">
        <v>932</v>
      </c>
      <c r="B382" s="360"/>
      <c r="C382" s="360"/>
      <c r="D382" s="361"/>
      <c r="E382" s="361"/>
      <c r="F382" s="361"/>
      <c r="G382" s="361"/>
      <c r="H382" s="437">
        <f>H277+H321+H338+H357+H366+H381</f>
        <v>314925.08130000002</v>
      </c>
      <c r="I382" s="174"/>
      <c r="J382" s="182"/>
      <c r="K382" s="182"/>
      <c r="L382" s="182"/>
      <c r="M382" s="182"/>
      <c r="N382" s="182"/>
      <c r="O382" s="182"/>
      <c r="S382" s="222"/>
    </row>
    <row r="383" spans="1:19" x14ac:dyDescent="0.25">
      <c r="A383" s="142" t="s">
        <v>152</v>
      </c>
      <c r="B383" s="124"/>
      <c r="C383" s="305"/>
      <c r="D383" s="103" t="s">
        <v>148</v>
      </c>
      <c r="E383" s="269"/>
      <c r="F383" s="161"/>
      <c r="G383" s="112"/>
      <c r="H383" s="440"/>
      <c r="I383" s="174"/>
      <c r="J383" s="182"/>
      <c r="K383" s="182"/>
      <c r="L383" s="182"/>
      <c r="M383" s="182"/>
      <c r="N383" s="182"/>
      <c r="O383" s="182"/>
    </row>
    <row r="384" spans="1:19" x14ac:dyDescent="0.25">
      <c r="A384" s="142" t="s">
        <v>472</v>
      </c>
      <c r="B384" s="124" t="s">
        <v>1002</v>
      </c>
      <c r="C384" s="305" t="s">
        <v>1252</v>
      </c>
      <c r="D384" s="155" t="s">
        <v>1253</v>
      </c>
      <c r="E384" s="11" t="s">
        <v>12</v>
      </c>
      <c r="F384" s="53">
        <v>1</v>
      </c>
      <c r="G384" s="302">
        <v>92631.57</v>
      </c>
      <c r="H384" s="323">
        <f>G384*F384</f>
        <v>92631.57</v>
      </c>
      <c r="I384" s="174"/>
      <c r="J384" s="182"/>
      <c r="K384" s="182"/>
      <c r="L384" s="244"/>
      <c r="M384" s="182"/>
      <c r="N384" s="182"/>
      <c r="O384" s="182"/>
      <c r="R384" s="245"/>
    </row>
    <row r="385" spans="1:18" x14ac:dyDescent="0.25">
      <c r="A385" s="142" t="s">
        <v>473</v>
      </c>
      <c r="B385" s="124" t="s">
        <v>981</v>
      </c>
      <c r="C385" s="124">
        <v>97361</v>
      </c>
      <c r="D385" s="107" t="s">
        <v>424</v>
      </c>
      <c r="E385" s="93" t="s">
        <v>12</v>
      </c>
      <c r="F385" s="287">
        <v>1</v>
      </c>
      <c r="G385" s="295">
        <v>8510.52</v>
      </c>
      <c r="H385" s="323">
        <f>G385*F385</f>
        <v>8510.52</v>
      </c>
      <c r="I385" s="186"/>
      <c r="J385" s="182"/>
      <c r="K385" s="182"/>
      <c r="L385" s="182"/>
      <c r="M385" s="182"/>
      <c r="N385" s="182"/>
      <c r="O385" s="182"/>
    </row>
    <row r="386" spans="1:18" ht="34.5" x14ac:dyDescent="0.25">
      <c r="A386" s="142" t="s">
        <v>474</v>
      </c>
      <c r="B386" s="124" t="s">
        <v>981</v>
      </c>
      <c r="C386" s="124">
        <v>101878</v>
      </c>
      <c r="D386" s="264" t="s">
        <v>425</v>
      </c>
      <c r="E386" s="4" t="s">
        <v>12</v>
      </c>
      <c r="F386" s="53">
        <v>1</v>
      </c>
      <c r="G386" s="13">
        <v>564.54</v>
      </c>
      <c r="H386" s="322">
        <f t="shared" ref="H386:H411" si="21">G386*F386</f>
        <v>564.54</v>
      </c>
      <c r="I386" s="175"/>
      <c r="J386" s="182"/>
      <c r="K386" s="182"/>
      <c r="L386" s="182"/>
      <c r="M386" s="182"/>
      <c r="N386" s="182"/>
      <c r="O386" s="182"/>
    </row>
    <row r="387" spans="1:18" ht="34.5" x14ac:dyDescent="0.25">
      <c r="A387" s="142" t="s">
        <v>475</v>
      </c>
      <c r="B387" s="124" t="s">
        <v>981</v>
      </c>
      <c r="C387" s="124">
        <v>101880</v>
      </c>
      <c r="D387" s="264" t="s">
        <v>426</v>
      </c>
      <c r="E387" s="4" t="s">
        <v>12</v>
      </c>
      <c r="F387" s="53">
        <v>1</v>
      </c>
      <c r="G387" s="13">
        <v>646.04</v>
      </c>
      <c r="H387" s="322">
        <f>G387*F387</f>
        <v>646.04</v>
      </c>
      <c r="I387" s="175"/>
      <c r="J387" s="182"/>
      <c r="K387" s="182"/>
      <c r="L387" s="182"/>
      <c r="M387" s="182"/>
      <c r="N387" s="182"/>
      <c r="O387" s="182"/>
    </row>
    <row r="388" spans="1:18" ht="23.25" x14ac:dyDescent="0.25">
      <c r="A388" s="142" t="s">
        <v>476</v>
      </c>
      <c r="B388" s="124" t="s">
        <v>982</v>
      </c>
      <c r="C388" s="15" t="s">
        <v>1057</v>
      </c>
      <c r="D388" s="264" t="s">
        <v>1056</v>
      </c>
      <c r="E388" s="4" t="s">
        <v>12</v>
      </c>
      <c r="F388" s="53">
        <v>5</v>
      </c>
      <c r="G388" s="13">
        <v>1712.4</v>
      </c>
      <c r="H388" s="325">
        <f>G388*F388</f>
        <v>8562</v>
      </c>
      <c r="I388" s="178"/>
      <c r="J388" s="182"/>
      <c r="K388" s="182"/>
      <c r="L388" s="182"/>
      <c r="M388" s="182"/>
      <c r="N388" s="182"/>
      <c r="O388" s="182"/>
      <c r="R388" s="241"/>
    </row>
    <row r="389" spans="1:18" ht="23.25" x14ac:dyDescent="0.25">
      <c r="A389" s="142" t="s">
        <v>477</v>
      </c>
      <c r="B389" s="124" t="s">
        <v>981</v>
      </c>
      <c r="C389" s="124">
        <v>101895</v>
      </c>
      <c r="D389" s="264" t="s">
        <v>71</v>
      </c>
      <c r="E389" s="4" t="s">
        <v>12</v>
      </c>
      <c r="F389" s="53">
        <v>1</v>
      </c>
      <c r="G389" s="13">
        <v>433.39</v>
      </c>
      <c r="H389" s="322">
        <f>G389*F389</f>
        <v>433.39</v>
      </c>
      <c r="I389" s="175"/>
      <c r="J389" s="182"/>
      <c r="K389" s="182"/>
      <c r="L389" s="182"/>
      <c r="M389" s="182"/>
      <c r="N389" s="182"/>
      <c r="O389" s="182"/>
    </row>
    <row r="390" spans="1:18" ht="23.25" x14ac:dyDescent="0.25">
      <c r="A390" s="142" t="s">
        <v>559</v>
      </c>
      <c r="B390" s="124" t="s">
        <v>981</v>
      </c>
      <c r="C390" s="124">
        <v>101894</v>
      </c>
      <c r="D390" s="264" t="s">
        <v>77</v>
      </c>
      <c r="E390" s="4" t="s">
        <v>12</v>
      </c>
      <c r="F390" s="53">
        <v>5</v>
      </c>
      <c r="G390" s="13">
        <v>168.66</v>
      </c>
      <c r="H390" s="322">
        <f t="shared" si="21"/>
        <v>843.3</v>
      </c>
      <c r="I390" s="175"/>
      <c r="J390" s="182"/>
      <c r="K390" s="182"/>
      <c r="L390" s="182"/>
      <c r="M390" s="182"/>
      <c r="N390" s="182"/>
      <c r="O390" s="182"/>
    </row>
    <row r="391" spans="1:18" ht="23.25" x14ac:dyDescent="0.25">
      <c r="A391" s="142" t="s">
        <v>560</v>
      </c>
      <c r="B391" s="124" t="s">
        <v>981</v>
      </c>
      <c r="C391" s="124">
        <v>101893</v>
      </c>
      <c r="D391" s="264" t="s">
        <v>76</v>
      </c>
      <c r="E391" s="4" t="s">
        <v>12</v>
      </c>
      <c r="F391" s="53">
        <v>5</v>
      </c>
      <c r="G391" s="13">
        <v>90.96</v>
      </c>
      <c r="H391" s="322">
        <f t="shared" si="21"/>
        <v>454.79999999999995</v>
      </c>
      <c r="I391" s="175"/>
      <c r="J391" s="182"/>
      <c r="K391" s="182"/>
      <c r="L391" s="182"/>
      <c r="M391" s="182"/>
      <c r="N391" s="182"/>
      <c r="O391" s="182"/>
    </row>
    <row r="392" spans="1:18" ht="23.25" x14ac:dyDescent="0.25">
      <c r="A392" s="142" t="s">
        <v>561</v>
      </c>
      <c r="B392" s="124" t="s">
        <v>981</v>
      </c>
      <c r="C392" s="124">
        <v>101892</v>
      </c>
      <c r="D392" s="264" t="s">
        <v>427</v>
      </c>
      <c r="E392" s="4" t="s">
        <v>12</v>
      </c>
      <c r="F392" s="53">
        <v>42</v>
      </c>
      <c r="G392" s="13">
        <v>70.38</v>
      </c>
      <c r="H392" s="322">
        <f>G392*F392</f>
        <v>2955.96</v>
      </c>
      <c r="I392" s="175"/>
      <c r="J392" s="182"/>
      <c r="K392" s="182"/>
      <c r="L392" s="182"/>
      <c r="M392" s="182"/>
      <c r="N392" s="182"/>
      <c r="O392" s="182"/>
    </row>
    <row r="393" spans="1:18" ht="23.25" x14ac:dyDescent="0.25">
      <c r="A393" s="142" t="s">
        <v>562</v>
      </c>
      <c r="B393" s="124" t="s">
        <v>981</v>
      </c>
      <c r="C393" s="124">
        <v>101890</v>
      </c>
      <c r="D393" s="264" t="s">
        <v>428</v>
      </c>
      <c r="E393" s="4" t="s">
        <v>12</v>
      </c>
      <c r="F393" s="53">
        <v>102</v>
      </c>
      <c r="G393" s="13">
        <v>17.010000000000002</v>
      </c>
      <c r="H393" s="322">
        <f>G393*F393</f>
        <v>1735.0200000000002</v>
      </c>
      <c r="I393" s="175"/>
      <c r="J393" s="182"/>
      <c r="K393" s="182"/>
      <c r="L393" s="182"/>
      <c r="M393" s="182"/>
      <c r="N393" s="182"/>
      <c r="O393" s="182"/>
    </row>
    <row r="394" spans="1:18" ht="23.25" x14ac:dyDescent="0.25">
      <c r="A394" s="142" t="s">
        <v>563</v>
      </c>
      <c r="B394" s="124" t="s">
        <v>981</v>
      </c>
      <c r="C394" s="124">
        <v>91953</v>
      </c>
      <c r="D394" s="264" t="s">
        <v>75</v>
      </c>
      <c r="E394" s="4" t="s">
        <v>12</v>
      </c>
      <c r="F394" s="53">
        <v>13</v>
      </c>
      <c r="G394" s="13">
        <v>37.69</v>
      </c>
      <c r="H394" s="322">
        <f t="shared" si="21"/>
        <v>489.96999999999997</v>
      </c>
      <c r="I394" s="175"/>
      <c r="J394" s="182"/>
      <c r="K394" s="182"/>
      <c r="L394" s="182"/>
      <c r="M394" s="182"/>
      <c r="N394" s="182"/>
      <c r="O394" s="182"/>
    </row>
    <row r="395" spans="1:18" ht="23.25" x14ac:dyDescent="0.25">
      <c r="A395" s="142" t="s">
        <v>564</v>
      </c>
      <c r="B395" s="124" t="s">
        <v>981</v>
      </c>
      <c r="C395" s="124">
        <v>91955</v>
      </c>
      <c r="D395" s="264" t="s">
        <v>74</v>
      </c>
      <c r="E395" s="4" t="s">
        <v>12</v>
      </c>
      <c r="F395" s="53">
        <v>8</v>
      </c>
      <c r="G395" s="13">
        <v>46.04</v>
      </c>
      <c r="H395" s="322">
        <f t="shared" si="21"/>
        <v>368.32</v>
      </c>
      <c r="I395" s="175"/>
      <c r="J395" s="182"/>
      <c r="K395" s="182"/>
      <c r="L395" s="182"/>
      <c r="M395" s="182"/>
      <c r="N395" s="182"/>
      <c r="O395" s="182"/>
    </row>
    <row r="396" spans="1:18" ht="23.25" x14ac:dyDescent="0.25">
      <c r="A396" s="142" t="s">
        <v>565</v>
      </c>
      <c r="B396" s="124" t="s">
        <v>981</v>
      </c>
      <c r="C396" s="124">
        <v>91959</v>
      </c>
      <c r="D396" s="264" t="s">
        <v>73</v>
      </c>
      <c r="E396" s="4" t="s">
        <v>12</v>
      </c>
      <c r="F396" s="53">
        <v>1</v>
      </c>
      <c r="G396" s="13">
        <v>56.96</v>
      </c>
      <c r="H396" s="322">
        <f t="shared" si="21"/>
        <v>56.96</v>
      </c>
      <c r="I396" s="175"/>
      <c r="J396" s="182"/>
      <c r="K396" s="182"/>
      <c r="L396" s="182"/>
      <c r="M396" s="182"/>
      <c r="N396" s="182"/>
      <c r="O396" s="182"/>
    </row>
    <row r="397" spans="1:18" ht="23.25" x14ac:dyDescent="0.25">
      <c r="A397" s="142" t="s">
        <v>566</v>
      </c>
      <c r="B397" s="124" t="s">
        <v>981</v>
      </c>
      <c r="C397" s="124">
        <v>91957</v>
      </c>
      <c r="D397" s="264" t="s">
        <v>72</v>
      </c>
      <c r="E397" s="4" t="s">
        <v>12</v>
      </c>
      <c r="F397" s="53">
        <v>1</v>
      </c>
      <c r="G397" s="13">
        <v>65.23</v>
      </c>
      <c r="H397" s="322">
        <f t="shared" si="21"/>
        <v>65.23</v>
      </c>
      <c r="I397" s="175"/>
      <c r="J397" s="182"/>
      <c r="K397" s="182"/>
      <c r="L397" s="182"/>
      <c r="M397" s="182"/>
      <c r="N397" s="182"/>
      <c r="O397" s="182"/>
    </row>
    <row r="398" spans="1:18" ht="23.25" x14ac:dyDescent="0.25">
      <c r="A398" s="142" t="s">
        <v>818</v>
      </c>
      <c r="B398" s="124" t="s">
        <v>981</v>
      </c>
      <c r="C398" s="124">
        <v>91967</v>
      </c>
      <c r="D398" s="264" t="s">
        <v>429</v>
      </c>
      <c r="E398" s="4" t="s">
        <v>12</v>
      </c>
      <c r="F398" s="53">
        <v>2</v>
      </c>
      <c r="G398" s="13">
        <v>76.23</v>
      </c>
      <c r="H398" s="322">
        <f t="shared" si="21"/>
        <v>152.46</v>
      </c>
      <c r="I398" s="175"/>
      <c r="J398" s="182"/>
      <c r="K398" s="182"/>
      <c r="L398" s="182"/>
      <c r="M398" s="182"/>
      <c r="N398" s="182"/>
      <c r="O398" s="182"/>
    </row>
    <row r="399" spans="1:18" ht="23.25" x14ac:dyDescent="0.25">
      <c r="A399" s="142" t="s">
        <v>819</v>
      </c>
      <c r="B399" s="124" t="s">
        <v>981</v>
      </c>
      <c r="C399" s="124">
        <v>91968</v>
      </c>
      <c r="D399" s="264" t="s">
        <v>430</v>
      </c>
      <c r="E399" s="4" t="s">
        <v>12</v>
      </c>
      <c r="F399" s="53">
        <v>6</v>
      </c>
      <c r="G399" s="13">
        <v>101.19</v>
      </c>
      <c r="H399" s="322">
        <f t="shared" si="21"/>
        <v>607.14</v>
      </c>
      <c r="I399" s="175"/>
      <c r="J399" s="182"/>
      <c r="K399" s="182"/>
      <c r="L399" s="182"/>
      <c r="M399" s="182"/>
      <c r="N399" s="182"/>
      <c r="O399" s="182"/>
    </row>
    <row r="400" spans="1:18" ht="23.25" x14ac:dyDescent="0.25">
      <c r="A400" s="142" t="s">
        <v>820</v>
      </c>
      <c r="B400" s="124" t="s">
        <v>981</v>
      </c>
      <c r="C400" s="124">
        <v>92023</v>
      </c>
      <c r="D400" s="264" t="s">
        <v>434</v>
      </c>
      <c r="E400" s="4" t="s">
        <v>12</v>
      </c>
      <c r="F400" s="53">
        <v>81</v>
      </c>
      <c r="G400" s="13">
        <v>64.16</v>
      </c>
      <c r="H400" s="322">
        <f>G400*F400</f>
        <v>5196.96</v>
      </c>
      <c r="I400" s="175"/>
      <c r="J400" s="182"/>
      <c r="K400" s="182"/>
      <c r="L400" s="182"/>
      <c r="M400" s="182"/>
      <c r="N400" s="182"/>
      <c r="O400" s="182"/>
    </row>
    <row r="401" spans="1:18" ht="23.25" x14ac:dyDescent="0.25">
      <c r="A401" s="142" t="s">
        <v>821</v>
      </c>
      <c r="B401" s="124" t="s">
        <v>981</v>
      </c>
      <c r="C401" s="124">
        <v>92029</v>
      </c>
      <c r="D401" s="264" t="s">
        <v>435</v>
      </c>
      <c r="E401" s="4" t="s">
        <v>12</v>
      </c>
      <c r="F401" s="53">
        <v>15</v>
      </c>
      <c r="G401" s="13">
        <v>72.58</v>
      </c>
      <c r="H401" s="322">
        <f t="shared" si="21"/>
        <v>1088.7</v>
      </c>
      <c r="I401" s="175"/>
      <c r="J401" s="182"/>
      <c r="K401" s="182"/>
      <c r="L401" s="182"/>
      <c r="M401" s="182"/>
      <c r="N401" s="182"/>
      <c r="O401" s="182"/>
    </row>
    <row r="402" spans="1:18" ht="23.25" x14ac:dyDescent="0.25">
      <c r="A402" s="142" t="s">
        <v>822</v>
      </c>
      <c r="B402" s="124" t="s">
        <v>981</v>
      </c>
      <c r="C402" s="308">
        <v>92027</v>
      </c>
      <c r="D402" s="264" t="s">
        <v>432</v>
      </c>
      <c r="E402" s="4" t="s">
        <v>12</v>
      </c>
      <c r="F402" s="53">
        <v>2</v>
      </c>
      <c r="G402" s="13">
        <v>82.43</v>
      </c>
      <c r="H402" s="322">
        <f>G402*F402</f>
        <v>164.86</v>
      </c>
      <c r="I402" s="175"/>
      <c r="J402" s="182"/>
      <c r="K402" s="182"/>
      <c r="L402" s="182"/>
      <c r="M402" s="182"/>
      <c r="N402" s="182"/>
      <c r="O402" s="182"/>
    </row>
    <row r="403" spans="1:18" ht="23.25" x14ac:dyDescent="0.25">
      <c r="A403" s="142" t="s">
        <v>823</v>
      </c>
      <c r="B403" s="124" t="s">
        <v>981</v>
      </c>
      <c r="C403" s="124">
        <v>92033</v>
      </c>
      <c r="D403" s="264" t="s">
        <v>431</v>
      </c>
      <c r="E403" s="4" t="s">
        <v>12</v>
      </c>
      <c r="F403" s="53">
        <v>1</v>
      </c>
      <c r="G403" s="13">
        <v>100.12</v>
      </c>
      <c r="H403" s="322">
        <f>G403*F403</f>
        <v>100.12</v>
      </c>
      <c r="I403" s="175"/>
      <c r="J403" s="182"/>
      <c r="K403" s="182"/>
      <c r="L403" s="182"/>
      <c r="M403" s="182"/>
      <c r="N403" s="182"/>
      <c r="O403" s="182"/>
    </row>
    <row r="404" spans="1:18" ht="34.5" x14ac:dyDescent="0.25">
      <c r="A404" s="142" t="s">
        <v>824</v>
      </c>
      <c r="B404" s="124" t="s">
        <v>981</v>
      </c>
      <c r="C404" s="124">
        <v>91957</v>
      </c>
      <c r="D404" s="264" t="s">
        <v>433</v>
      </c>
      <c r="E404" s="4" t="s">
        <v>12</v>
      </c>
      <c r="F404" s="53">
        <v>1</v>
      </c>
      <c r="G404" s="13">
        <v>65.23</v>
      </c>
      <c r="H404" s="322">
        <f>G404*F404</f>
        <v>65.23</v>
      </c>
      <c r="I404" s="175"/>
      <c r="J404" s="182"/>
      <c r="K404" s="182"/>
      <c r="L404" s="182"/>
      <c r="M404" s="182"/>
      <c r="N404" s="182"/>
      <c r="O404" s="182"/>
    </row>
    <row r="405" spans="1:18" ht="23.25" x14ac:dyDescent="0.25">
      <c r="A405" s="142" t="s">
        <v>825</v>
      </c>
      <c r="B405" s="124" t="s">
        <v>981</v>
      </c>
      <c r="C405" s="308">
        <v>92027</v>
      </c>
      <c r="D405" s="264" t="s">
        <v>432</v>
      </c>
      <c r="E405" s="4" t="s">
        <v>12</v>
      </c>
      <c r="F405" s="53">
        <v>1</v>
      </c>
      <c r="G405" s="13">
        <v>83.43</v>
      </c>
      <c r="H405" s="322">
        <f>G405*F405</f>
        <v>83.43</v>
      </c>
      <c r="I405" s="174"/>
      <c r="J405" s="182"/>
      <c r="K405" s="182"/>
      <c r="L405" s="182"/>
      <c r="M405" s="182"/>
      <c r="N405" s="182"/>
      <c r="O405" s="182"/>
    </row>
    <row r="406" spans="1:18" ht="23.25" x14ac:dyDescent="0.25">
      <c r="A406" s="142" t="s">
        <v>826</v>
      </c>
      <c r="B406" s="124" t="s">
        <v>981</v>
      </c>
      <c r="C406" s="124">
        <v>92000</v>
      </c>
      <c r="D406" s="264" t="s">
        <v>436</v>
      </c>
      <c r="E406" s="4" t="s">
        <v>12</v>
      </c>
      <c r="F406" s="53">
        <v>744</v>
      </c>
      <c r="G406" s="13">
        <v>166.44</v>
      </c>
      <c r="H406" s="322">
        <f t="shared" si="21"/>
        <v>123831.36</v>
      </c>
      <c r="I406" s="175"/>
      <c r="J406" s="182"/>
      <c r="K406" s="182"/>
      <c r="L406" s="182"/>
      <c r="M406" s="182"/>
      <c r="N406" s="182"/>
      <c r="O406" s="182"/>
    </row>
    <row r="407" spans="1:18" ht="23.25" x14ac:dyDescent="0.25">
      <c r="A407" s="142" t="s">
        <v>827</v>
      </c>
      <c r="B407" s="124" t="s">
        <v>981</v>
      </c>
      <c r="C407" s="124">
        <v>92001</v>
      </c>
      <c r="D407" s="264" t="s">
        <v>437</v>
      </c>
      <c r="E407" s="4" t="s">
        <v>12</v>
      </c>
      <c r="F407" s="53">
        <v>66</v>
      </c>
      <c r="G407" s="13">
        <v>41.41</v>
      </c>
      <c r="H407" s="322">
        <f t="shared" si="21"/>
        <v>2733.06</v>
      </c>
      <c r="I407" s="175"/>
      <c r="J407" s="182"/>
      <c r="K407" s="182"/>
      <c r="L407" s="182"/>
      <c r="M407" s="182"/>
      <c r="N407" s="182"/>
      <c r="O407" s="182"/>
    </row>
    <row r="408" spans="1:18" x14ac:dyDescent="0.25">
      <c r="A408" s="142" t="s">
        <v>828</v>
      </c>
      <c r="B408" s="124" t="s">
        <v>981</v>
      </c>
      <c r="C408" s="124">
        <v>98307</v>
      </c>
      <c r="D408" s="264" t="s">
        <v>461</v>
      </c>
      <c r="E408" s="4" t="s">
        <v>12</v>
      </c>
      <c r="F408" s="53">
        <v>103</v>
      </c>
      <c r="G408" s="13">
        <v>49.38</v>
      </c>
      <c r="H408" s="322">
        <f>G408*F408</f>
        <v>5086.1400000000003</v>
      </c>
      <c r="I408" s="175"/>
      <c r="J408" s="182"/>
      <c r="K408" s="182"/>
      <c r="L408" s="182"/>
      <c r="M408" s="182"/>
      <c r="N408" s="182"/>
      <c r="O408" s="182"/>
    </row>
    <row r="409" spans="1:18" x14ac:dyDescent="0.25">
      <c r="A409" s="142" t="s">
        <v>829</v>
      </c>
      <c r="B409" s="124" t="s">
        <v>981</v>
      </c>
      <c r="C409" s="124">
        <v>98308</v>
      </c>
      <c r="D409" s="264" t="s">
        <v>462</v>
      </c>
      <c r="E409" s="4" t="s">
        <v>12</v>
      </c>
      <c r="F409" s="53">
        <v>110</v>
      </c>
      <c r="G409" s="13">
        <v>34.68</v>
      </c>
      <c r="H409" s="322">
        <f>G409*F409</f>
        <v>3814.8</v>
      </c>
      <c r="I409" s="175"/>
      <c r="J409" s="182"/>
      <c r="K409" s="182"/>
      <c r="L409" s="182"/>
      <c r="M409" s="182"/>
      <c r="N409" s="182"/>
      <c r="O409" s="182"/>
    </row>
    <row r="410" spans="1:18" x14ac:dyDescent="0.25">
      <c r="A410" s="142" t="s">
        <v>830</v>
      </c>
      <c r="B410" s="124" t="s">
        <v>982</v>
      </c>
      <c r="C410" s="1" t="s">
        <v>1059</v>
      </c>
      <c r="D410" s="264" t="s">
        <v>1058</v>
      </c>
      <c r="E410" s="4" t="s">
        <v>12</v>
      </c>
      <c r="F410" s="53">
        <v>59</v>
      </c>
      <c r="G410" s="13">
        <v>21.42</v>
      </c>
      <c r="H410" s="322">
        <f>G410*F410</f>
        <v>1263.7800000000002</v>
      </c>
      <c r="I410" s="176"/>
      <c r="J410" s="182"/>
      <c r="K410" s="182"/>
      <c r="L410" s="182"/>
      <c r="M410" s="182"/>
      <c r="N410" s="182"/>
      <c r="O410" s="182"/>
    </row>
    <row r="411" spans="1:18" ht="23.25" x14ac:dyDescent="0.25">
      <c r="A411" s="142" t="s">
        <v>831</v>
      </c>
      <c r="B411" s="124" t="s">
        <v>981</v>
      </c>
      <c r="C411" s="124">
        <v>97593</v>
      </c>
      <c r="D411" s="264" t="s">
        <v>78</v>
      </c>
      <c r="E411" s="4" t="s">
        <v>12</v>
      </c>
      <c r="F411" s="53">
        <v>15</v>
      </c>
      <c r="G411" s="13">
        <v>143.41</v>
      </c>
      <c r="H411" s="322">
        <f t="shared" si="21"/>
        <v>2151.15</v>
      </c>
      <c r="I411" s="175"/>
      <c r="J411" s="182"/>
      <c r="K411" s="182"/>
      <c r="L411" s="182"/>
      <c r="M411" s="182"/>
      <c r="N411" s="182"/>
      <c r="O411" s="182"/>
    </row>
    <row r="412" spans="1:18" ht="23.25" x14ac:dyDescent="0.25">
      <c r="A412" s="142" t="s">
        <v>832</v>
      </c>
      <c r="B412" s="124" t="s">
        <v>981</v>
      </c>
      <c r="C412" s="124">
        <v>97595</v>
      </c>
      <c r="D412" s="264" t="s">
        <v>79</v>
      </c>
      <c r="E412" s="4" t="s">
        <v>12</v>
      </c>
      <c r="F412" s="53">
        <v>2</v>
      </c>
      <c r="G412" s="13">
        <v>106.68</v>
      </c>
      <c r="H412" s="322">
        <f t="shared" ref="H412:H433" si="22">G412*F412</f>
        <v>213.36</v>
      </c>
      <c r="I412" s="175"/>
      <c r="J412" s="182"/>
      <c r="K412" s="182"/>
      <c r="L412" s="182"/>
      <c r="M412" s="182"/>
      <c r="N412" s="182"/>
      <c r="O412" s="182"/>
    </row>
    <row r="413" spans="1:18" ht="23.25" x14ac:dyDescent="0.25">
      <c r="A413" s="142" t="s">
        <v>833</v>
      </c>
      <c r="B413" s="124" t="s">
        <v>982</v>
      </c>
      <c r="C413" s="15" t="s">
        <v>1061</v>
      </c>
      <c r="D413" s="264" t="s">
        <v>1060</v>
      </c>
      <c r="E413" s="4" t="s">
        <v>12</v>
      </c>
      <c r="F413" s="53">
        <v>56</v>
      </c>
      <c r="G413" s="115">
        <v>323.95999999999998</v>
      </c>
      <c r="H413" s="322">
        <f t="shared" si="22"/>
        <v>18141.759999999998</v>
      </c>
      <c r="I413" s="183"/>
      <c r="J413" s="182"/>
      <c r="K413" s="182"/>
      <c r="L413" s="182"/>
      <c r="M413" s="182"/>
      <c r="N413" s="182"/>
      <c r="O413" s="182"/>
      <c r="R413" s="235"/>
    </row>
    <row r="414" spans="1:18" x14ac:dyDescent="0.25">
      <c r="A414" s="142" t="s">
        <v>834</v>
      </c>
      <c r="B414" s="124" t="s">
        <v>981</v>
      </c>
      <c r="C414" s="124">
        <v>100903</v>
      </c>
      <c r="D414" s="264" t="s">
        <v>438</v>
      </c>
      <c r="E414" s="4" t="s">
        <v>12</v>
      </c>
      <c r="F414" s="53">
        <v>324</v>
      </c>
      <c r="G414" s="13">
        <v>34.44</v>
      </c>
      <c r="H414" s="322">
        <f t="shared" si="22"/>
        <v>11158.56</v>
      </c>
      <c r="I414" s="175"/>
      <c r="J414" s="182"/>
      <c r="K414" s="182"/>
      <c r="L414" s="182"/>
      <c r="M414" s="182"/>
      <c r="N414" s="182"/>
      <c r="O414" s="182"/>
    </row>
    <row r="415" spans="1:18" x14ac:dyDescent="0.25">
      <c r="A415" s="142" t="s">
        <v>835</v>
      </c>
      <c r="B415" s="124" t="s">
        <v>1002</v>
      </c>
      <c r="C415" s="309" t="s">
        <v>1191</v>
      </c>
      <c r="D415" s="264" t="s">
        <v>1193</v>
      </c>
      <c r="E415" s="4" t="s">
        <v>12</v>
      </c>
      <c r="F415" s="53">
        <v>2</v>
      </c>
      <c r="G415" s="115">
        <v>228.74</v>
      </c>
      <c r="H415" s="322">
        <f t="shared" si="22"/>
        <v>457.48</v>
      </c>
      <c r="I415" s="187"/>
      <c r="J415" s="176"/>
      <c r="K415" s="182"/>
      <c r="L415" s="182"/>
      <c r="M415" s="182"/>
      <c r="N415" s="182"/>
      <c r="O415" s="182"/>
    </row>
    <row r="416" spans="1:18" ht="23.25" x14ac:dyDescent="0.25">
      <c r="A416" s="142" t="s">
        <v>836</v>
      </c>
      <c r="B416" s="124" t="s">
        <v>981</v>
      </c>
      <c r="C416" s="124">
        <v>91944</v>
      </c>
      <c r="D416" s="264" t="s">
        <v>1194</v>
      </c>
      <c r="E416" s="4" t="s">
        <v>12</v>
      </c>
      <c r="F416" s="53">
        <v>66</v>
      </c>
      <c r="G416" s="13">
        <v>18.16</v>
      </c>
      <c r="H416" s="322">
        <f t="shared" si="22"/>
        <v>1198.56</v>
      </c>
      <c r="I416" s="175"/>
      <c r="J416" s="182"/>
      <c r="K416" s="182"/>
      <c r="L416" s="182"/>
      <c r="M416" s="182"/>
      <c r="N416" s="182"/>
      <c r="O416" s="182"/>
    </row>
    <row r="417" spans="1:15" ht="23.25" x14ac:dyDescent="0.25">
      <c r="A417" s="142" t="s">
        <v>837</v>
      </c>
      <c r="B417" s="124" t="s">
        <v>981</v>
      </c>
      <c r="C417" s="124">
        <v>91941</v>
      </c>
      <c r="D417" s="264" t="s">
        <v>80</v>
      </c>
      <c r="E417" s="4" t="s">
        <v>12</v>
      </c>
      <c r="F417" s="53">
        <v>136</v>
      </c>
      <c r="G417" s="13">
        <v>15.22</v>
      </c>
      <c r="H417" s="322">
        <f t="shared" si="22"/>
        <v>2069.92</v>
      </c>
      <c r="I417" s="175"/>
      <c r="J417" s="182"/>
      <c r="K417" s="182"/>
      <c r="L417" s="182"/>
      <c r="M417" s="182"/>
      <c r="N417" s="182"/>
      <c r="O417" s="182"/>
    </row>
    <row r="418" spans="1:15" ht="23.25" x14ac:dyDescent="0.25">
      <c r="A418" s="142" t="s">
        <v>838</v>
      </c>
      <c r="B418" s="124" t="s">
        <v>981</v>
      </c>
      <c r="C418" s="124">
        <v>93002</v>
      </c>
      <c r="D418" s="264" t="s">
        <v>439</v>
      </c>
      <c r="E418" s="4" t="s">
        <v>8</v>
      </c>
      <c r="F418" s="53">
        <v>344</v>
      </c>
      <c r="G418" s="13">
        <v>264.5</v>
      </c>
      <c r="H418" s="322">
        <f t="shared" si="22"/>
        <v>90988</v>
      </c>
      <c r="I418" s="175"/>
      <c r="J418" s="182"/>
      <c r="K418" s="182"/>
      <c r="L418" s="182"/>
      <c r="M418" s="182"/>
      <c r="N418" s="182"/>
      <c r="O418" s="182"/>
    </row>
    <row r="419" spans="1:15" ht="23.25" x14ac:dyDescent="0.25">
      <c r="A419" s="142" t="s">
        <v>839</v>
      </c>
      <c r="B419" s="124" t="s">
        <v>981</v>
      </c>
      <c r="C419" s="124">
        <v>92996</v>
      </c>
      <c r="D419" s="264" t="s">
        <v>441</v>
      </c>
      <c r="E419" s="4" t="s">
        <v>8</v>
      </c>
      <c r="F419" s="53">
        <v>86</v>
      </c>
      <c r="G419" s="13">
        <v>127</v>
      </c>
      <c r="H419" s="322">
        <f t="shared" si="22"/>
        <v>10922</v>
      </c>
      <c r="I419" s="175"/>
      <c r="J419" s="182"/>
      <c r="K419" s="182"/>
      <c r="L419" s="182"/>
      <c r="M419" s="182"/>
      <c r="N419" s="182"/>
      <c r="O419" s="182"/>
    </row>
    <row r="420" spans="1:15" ht="23.25" x14ac:dyDescent="0.25">
      <c r="A420" s="142" t="s">
        <v>840</v>
      </c>
      <c r="B420" s="124" t="s">
        <v>981</v>
      </c>
      <c r="C420" s="124">
        <v>92994</v>
      </c>
      <c r="D420" s="264" t="s">
        <v>442</v>
      </c>
      <c r="E420" s="4" t="s">
        <v>8</v>
      </c>
      <c r="F420" s="53">
        <v>7.6</v>
      </c>
      <c r="G420" s="13">
        <v>105.1</v>
      </c>
      <c r="H420" s="322">
        <f t="shared" si="22"/>
        <v>798.75999999999988</v>
      </c>
      <c r="I420" s="175"/>
      <c r="J420" s="182"/>
      <c r="K420" s="182"/>
      <c r="L420" s="182"/>
      <c r="M420" s="182"/>
      <c r="N420" s="182"/>
      <c r="O420" s="182"/>
    </row>
    <row r="421" spans="1:15" ht="23.25" x14ac:dyDescent="0.25">
      <c r="A421" s="142" t="s">
        <v>841</v>
      </c>
      <c r="B421" s="124" t="s">
        <v>981</v>
      </c>
      <c r="C421" s="124">
        <v>92992</v>
      </c>
      <c r="D421" s="264" t="s">
        <v>440</v>
      </c>
      <c r="E421" s="4" t="s">
        <v>8</v>
      </c>
      <c r="F421" s="53">
        <v>16</v>
      </c>
      <c r="G421" s="13">
        <v>81.27</v>
      </c>
      <c r="H421" s="322">
        <f t="shared" si="22"/>
        <v>1300.32</v>
      </c>
      <c r="I421" s="175"/>
      <c r="J421" s="182"/>
      <c r="K421" s="182"/>
      <c r="L421" s="182"/>
      <c r="M421" s="182"/>
      <c r="N421" s="182"/>
      <c r="O421" s="182"/>
    </row>
    <row r="422" spans="1:15" ht="23.25" x14ac:dyDescent="0.25">
      <c r="A422" s="142" t="s">
        <v>842</v>
      </c>
      <c r="B422" s="124" t="s">
        <v>981</v>
      </c>
      <c r="C422" s="124">
        <v>92990</v>
      </c>
      <c r="D422" s="264" t="s">
        <v>443</v>
      </c>
      <c r="E422" s="4" t="s">
        <v>8</v>
      </c>
      <c r="F422" s="53">
        <v>9.5</v>
      </c>
      <c r="G422" s="13">
        <v>63.06</v>
      </c>
      <c r="H422" s="322">
        <f t="shared" si="22"/>
        <v>599.07000000000005</v>
      </c>
      <c r="I422" s="175"/>
      <c r="J422" s="182"/>
      <c r="K422" s="182"/>
      <c r="L422" s="182"/>
      <c r="M422" s="182"/>
      <c r="N422" s="182"/>
      <c r="O422" s="182"/>
    </row>
    <row r="423" spans="1:15" ht="23.25" x14ac:dyDescent="0.25">
      <c r="A423" s="142" t="s">
        <v>843</v>
      </c>
      <c r="B423" s="124" t="s">
        <v>981</v>
      </c>
      <c r="C423" s="124">
        <v>92998</v>
      </c>
      <c r="D423" s="264" t="s">
        <v>444</v>
      </c>
      <c r="E423" s="4" t="s">
        <v>8</v>
      </c>
      <c r="F423" s="53">
        <v>91.8</v>
      </c>
      <c r="G423" s="13">
        <v>45.92</v>
      </c>
      <c r="H423" s="322">
        <f t="shared" si="22"/>
        <v>4215.4560000000001</v>
      </c>
      <c r="I423" s="175"/>
      <c r="J423" s="182"/>
      <c r="K423" s="182"/>
      <c r="L423" s="182"/>
      <c r="M423" s="182"/>
      <c r="N423" s="182"/>
      <c r="O423" s="182"/>
    </row>
    <row r="424" spans="1:15" ht="23.25" x14ac:dyDescent="0.25">
      <c r="A424" s="142" t="s">
        <v>844</v>
      </c>
      <c r="B424" s="124" t="s">
        <v>981</v>
      </c>
      <c r="C424" s="124">
        <v>92986</v>
      </c>
      <c r="D424" s="264" t="s">
        <v>445</v>
      </c>
      <c r="E424" s="4" t="s">
        <v>8</v>
      </c>
      <c r="F424" s="53">
        <v>67.099999999999994</v>
      </c>
      <c r="G424" s="13">
        <v>32.08</v>
      </c>
      <c r="H424" s="322">
        <f t="shared" si="22"/>
        <v>2152.5679999999998</v>
      </c>
      <c r="I424" s="175"/>
      <c r="J424" s="182"/>
      <c r="K424" s="182"/>
      <c r="L424" s="182"/>
      <c r="M424" s="182"/>
      <c r="N424" s="182"/>
      <c r="O424" s="182"/>
    </row>
    <row r="425" spans="1:15" ht="23.25" x14ac:dyDescent="0.25">
      <c r="A425" s="142" t="s">
        <v>845</v>
      </c>
      <c r="B425" s="124" t="s">
        <v>981</v>
      </c>
      <c r="C425" s="124">
        <v>92984</v>
      </c>
      <c r="D425" s="264" t="s">
        <v>446</v>
      </c>
      <c r="E425" s="4" t="s">
        <v>8</v>
      </c>
      <c r="F425" s="53">
        <v>165.9</v>
      </c>
      <c r="G425" s="13">
        <v>23.58</v>
      </c>
      <c r="H425" s="322">
        <f t="shared" si="22"/>
        <v>3911.922</v>
      </c>
      <c r="I425" s="175"/>
      <c r="J425" s="182"/>
      <c r="K425" s="182"/>
      <c r="L425" s="182"/>
      <c r="M425" s="182"/>
      <c r="N425" s="182"/>
      <c r="O425" s="182"/>
    </row>
    <row r="426" spans="1:15" ht="23.25" x14ac:dyDescent="0.25">
      <c r="A426" s="142" t="s">
        <v>846</v>
      </c>
      <c r="B426" s="124" t="s">
        <v>981</v>
      </c>
      <c r="C426" s="124">
        <v>92982</v>
      </c>
      <c r="D426" s="264" t="s">
        <v>447</v>
      </c>
      <c r="E426" s="4" t="s">
        <v>8</v>
      </c>
      <c r="F426" s="53">
        <v>83.2</v>
      </c>
      <c r="G426" s="13">
        <v>13.4</v>
      </c>
      <c r="H426" s="322">
        <f t="shared" si="22"/>
        <v>1114.8800000000001</v>
      </c>
      <c r="I426" s="175"/>
      <c r="J426" s="182"/>
      <c r="K426" s="182"/>
      <c r="L426" s="182"/>
      <c r="M426" s="182"/>
      <c r="N426" s="182"/>
      <c r="O426" s="182"/>
    </row>
    <row r="427" spans="1:15" ht="23.25" x14ac:dyDescent="0.25">
      <c r="A427" s="142" t="s">
        <v>847</v>
      </c>
      <c r="B427" s="124" t="s">
        <v>981</v>
      </c>
      <c r="C427" s="124">
        <v>91931</v>
      </c>
      <c r="D427" s="264" t="s">
        <v>448</v>
      </c>
      <c r="E427" s="4" t="s">
        <v>8</v>
      </c>
      <c r="F427" s="53">
        <v>506</v>
      </c>
      <c r="G427" s="13">
        <v>9.6199999999999992</v>
      </c>
      <c r="H427" s="322">
        <f t="shared" si="22"/>
        <v>4867.7199999999993</v>
      </c>
      <c r="I427" s="175"/>
      <c r="J427" s="182"/>
      <c r="K427" s="182"/>
      <c r="L427" s="182"/>
      <c r="M427" s="182"/>
      <c r="N427" s="182"/>
      <c r="O427" s="182"/>
    </row>
    <row r="428" spans="1:15" ht="23.25" x14ac:dyDescent="0.25">
      <c r="A428" s="142" t="s">
        <v>848</v>
      </c>
      <c r="B428" s="124" t="s">
        <v>981</v>
      </c>
      <c r="C428" s="124">
        <v>91929</v>
      </c>
      <c r="D428" s="264" t="s">
        <v>449</v>
      </c>
      <c r="E428" s="4" t="s">
        <v>8</v>
      </c>
      <c r="F428" s="53">
        <v>4660.3999999999996</v>
      </c>
      <c r="G428" s="13">
        <v>6.91</v>
      </c>
      <c r="H428" s="322">
        <f t="shared" si="22"/>
        <v>32203.363999999998</v>
      </c>
      <c r="I428" s="175"/>
      <c r="J428" s="182"/>
      <c r="K428" s="182"/>
      <c r="L428" s="182"/>
      <c r="M428" s="182"/>
      <c r="N428" s="182"/>
      <c r="O428" s="182"/>
    </row>
    <row r="429" spans="1:15" ht="23.25" x14ac:dyDescent="0.25">
      <c r="A429" s="142" t="s">
        <v>849</v>
      </c>
      <c r="B429" s="124" t="s">
        <v>981</v>
      </c>
      <c r="C429" s="124">
        <v>91926</v>
      </c>
      <c r="D429" s="264" t="s">
        <v>81</v>
      </c>
      <c r="E429" s="4" t="s">
        <v>8</v>
      </c>
      <c r="F429" s="53">
        <v>19079.5</v>
      </c>
      <c r="G429" s="13">
        <v>4.3899999999999997</v>
      </c>
      <c r="H429" s="322">
        <f t="shared" si="22"/>
        <v>83759.00499999999</v>
      </c>
      <c r="I429" s="175"/>
      <c r="J429" s="182"/>
      <c r="K429" s="182"/>
      <c r="L429" s="182"/>
      <c r="M429" s="182"/>
      <c r="N429" s="182"/>
      <c r="O429" s="182"/>
    </row>
    <row r="430" spans="1:15" ht="23.25" x14ac:dyDescent="0.25">
      <c r="A430" s="142" t="s">
        <v>850</v>
      </c>
      <c r="B430" s="124" t="s">
        <v>981</v>
      </c>
      <c r="C430" s="124">
        <v>98295</v>
      </c>
      <c r="D430" s="264" t="s">
        <v>460</v>
      </c>
      <c r="E430" s="4" t="s">
        <v>8</v>
      </c>
      <c r="F430" s="53">
        <v>8395.1200000000008</v>
      </c>
      <c r="G430" s="13">
        <v>6.6</v>
      </c>
      <c r="H430" s="322">
        <f t="shared" si="22"/>
        <v>55407.792000000001</v>
      </c>
      <c r="I430" s="175"/>
      <c r="J430" s="182"/>
      <c r="K430" s="182"/>
      <c r="L430" s="182"/>
      <c r="M430" s="182"/>
      <c r="N430" s="182"/>
      <c r="O430" s="182"/>
    </row>
    <row r="431" spans="1:15" ht="23.25" x14ac:dyDescent="0.25">
      <c r="A431" s="142" t="s">
        <v>851</v>
      </c>
      <c r="B431" s="124" t="s">
        <v>981</v>
      </c>
      <c r="C431" s="124">
        <v>91854</v>
      </c>
      <c r="D431" s="264" t="s">
        <v>145</v>
      </c>
      <c r="E431" s="4" t="s">
        <v>8</v>
      </c>
      <c r="F431" s="53">
        <v>2645.5</v>
      </c>
      <c r="G431" s="13">
        <v>12.35</v>
      </c>
      <c r="H431" s="322">
        <f t="shared" si="22"/>
        <v>32671.924999999999</v>
      </c>
      <c r="I431" s="175"/>
      <c r="J431" s="182"/>
      <c r="K431" s="182"/>
      <c r="L431" s="182"/>
      <c r="M431" s="182"/>
      <c r="N431" s="182"/>
      <c r="O431" s="182"/>
    </row>
    <row r="432" spans="1:15" ht="23.25" x14ac:dyDescent="0.25">
      <c r="A432" s="142" t="s">
        <v>852</v>
      </c>
      <c r="B432" s="124" t="s">
        <v>981</v>
      </c>
      <c r="C432" s="124">
        <v>91856</v>
      </c>
      <c r="D432" s="264" t="s">
        <v>450</v>
      </c>
      <c r="E432" s="4" t="s">
        <v>8</v>
      </c>
      <c r="F432" s="53">
        <v>72.099999999999994</v>
      </c>
      <c r="G432" s="13">
        <v>15.14</v>
      </c>
      <c r="H432" s="322">
        <f t="shared" si="22"/>
        <v>1091.5940000000001</v>
      </c>
      <c r="I432" s="175"/>
      <c r="J432" s="182"/>
      <c r="K432" s="182"/>
      <c r="L432" s="182"/>
      <c r="M432" s="182"/>
      <c r="N432" s="182"/>
      <c r="O432" s="182"/>
    </row>
    <row r="433" spans="1:18" x14ac:dyDescent="0.25">
      <c r="A433" s="142" t="s">
        <v>853</v>
      </c>
      <c r="B433" s="124" t="s">
        <v>982</v>
      </c>
      <c r="C433" s="310" t="s">
        <v>1195</v>
      </c>
      <c r="D433" s="264" t="s">
        <v>456</v>
      </c>
      <c r="E433" s="4" t="s">
        <v>8</v>
      </c>
      <c r="F433" s="53">
        <v>40.799999999999997</v>
      </c>
      <c r="G433" s="115">
        <v>45.41</v>
      </c>
      <c r="H433" s="322">
        <f t="shared" si="22"/>
        <v>1852.7279999999998</v>
      </c>
      <c r="I433" s="183"/>
      <c r="J433" s="182"/>
      <c r="K433" s="182"/>
      <c r="L433" s="182"/>
      <c r="M433" s="182"/>
      <c r="N433" s="182"/>
      <c r="O433" s="182"/>
      <c r="R433" s="235"/>
    </row>
    <row r="434" spans="1:18" x14ac:dyDescent="0.25">
      <c r="A434" s="142" t="s">
        <v>854</v>
      </c>
      <c r="B434" s="124" t="s">
        <v>982</v>
      </c>
      <c r="C434" s="15" t="s">
        <v>1188</v>
      </c>
      <c r="D434" s="264" t="s">
        <v>451</v>
      </c>
      <c r="E434" s="4" t="s">
        <v>8</v>
      </c>
      <c r="F434" s="53">
        <v>12.4</v>
      </c>
      <c r="G434" s="115">
        <v>98.76</v>
      </c>
      <c r="H434" s="322">
        <f t="shared" ref="H434:H440" si="23">G434*F434</f>
        <v>1224.624</v>
      </c>
      <c r="I434" s="188"/>
      <c r="J434" s="188"/>
      <c r="K434" s="182"/>
      <c r="L434" s="182"/>
      <c r="M434" s="182"/>
      <c r="N434" s="182"/>
      <c r="O434" s="182"/>
      <c r="R434" s="235"/>
    </row>
    <row r="435" spans="1:18" ht="23.25" x14ac:dyDescent="0.25">
      <c r="A435" s="142" t="s">
        <v>855</v>
      </c>
      <c r="B435" s="124" t="s">
        <v>982</v>
      </c>
      <c r="C435" s="15" t="s">
        <v>1189</v>
      </c>
      <c r="D435" s="264" t="s">
        <v>452</v>
      </c>
      <c r="E435" s="4" t="s">
        <v>8</v>
      </c>
      <c r="F435" s="53">
        <v>11.7</v>
      </c>
      <c r="G435" s="115">
        <v>80.03</v>
      </c>
      <c r="H435" s="322">
        <f t="shared" si="23"/>
        <v>936.351</v>
      </c>
      <c r="I435" s="188"/>
      <c r="J435" s="188"/>
      <c r="K435" s="182"/>
      <c r="L435" s="182"/>
      <c r="M435" s="182"/>
      <c r="N435" s="182"/>
      <c r="O435" s="182"/>
      <c r="R435" s="235"/>
    </row>
    <row r="436" spans="1:18" ht="23.25" x14ac:dyDescent="0.25">
      <c r="A436" s="142" t="s">
        <v>856</v>
      </c>
      <c r="B436" s="124" t="s">
        <v>981</v>
      </c>
      <c r="C436" s="124">
        <v>95777</v>
      </c>
      <c r="D436" s="264" t="s">
        <v>453</v>
      </c>
      <c r="E436" s="4" t="s">
        <v>8</v>
      </c>
      <c r="F436" s="53">
        <v>23.9</v>
      </c>
      <c r="G436" s="13">
        <v>30.27</v>
      </c>
      <c r="H436" s="322">
        <f t="shared" si="23"/>
        <v>723.45299999999997</v>
      </c>
      <c r="I436" s="175"/>
      <c r="J436" s="182"/>
      <c r="K436" s="182"/>
      <c r="L436" s="188"/>
      <c r="M436" s="182"/>
      <c r="N436" s="182"/>
      <c r="O436" s="182"/>
    </row>
    <row r="437" spans="1:18" x14ac:dyDescent="0.25">
      <c r="A437" s="142" t="s">
        <v>857</v>
      </c>
      <c r="B437" s="124" t="s">
        <v>982</v>
      </c>
      <c r="C437" s="15" t="s">
        <v>1063</v>
      </c>
      <c r="D437" s="264" t="s">
        <v>1064</v>
      </c>
      <c r="E437" s="4" t="s">
        <v>8</v>
      </c>
      <c r="F437" s="53">
        <v>14.8</v>
      </c>
      <c r="G437" s="13">
        <v>287.39999999999998</v>
      </c>
      <c r="H437" s="322">
        <f t="shared" si="23"/>
        <v>4253.5199999999995</v>
      </c>
      <c r="I437" s="187"/>
      <c r="J437" s="182"/>
      <c r="K437" s="182"/>
      <c r="L437" s="182"/>
      <c r="M437" s="182"/>
      <c r="N437" s="182"/>
      <c r="O437" s="182"/>
      <c r="R437" s="235"/>
    </row>
    <row r="438" spans="1:18" x14ac:dyDescent="0.25">
      <c r="A438" s="142" t="s">
        <v>858</v>
      </c>
      <c r="B438" s="124" t="s">
        <v>982</v>
      </c>
      <c r="C438" s="15" t="s">
        <v>1073</v>
      </c>
      <c r="D438" s="264" t="s">
        <v>1072</v>
      </c>
      <c r="E438" s="4" t="s">
        <v>8</v>
      </c>
      <c r="F438" s="53">
        <v>14.8</v>
      </c>
      <c r="G438" s="13">
        <v>182.98</v>
      </c>
      <c r="H438" s="322">
        <f>G438*F438</f>
        <v>2708.1039999999998</v>
      </c>
      <c r="I438" s="187"/>
      <c r="J438" s="182"/>
      <c r="K438" s="182"/>
      <c r="L438" s="182"/>
      <c r="M438" s="182"/>
      <c r="N438" s="182"/>
      <c r="O438" s="182"/>
      <c r="R438" s="235"/>
    </row>
    <row r="439" spans="1:18" x14ac:dyDescent="0.25">
      <c r="A439" s="142" t="s">
        <v>859</v>
      </c>
      <c r="B439" s="124" t="s">
        <v>982</v>
      </c>
      <c r="C439" s="15" t="s">
        <v>1083</v>
      </c>
      <c r="D439" s="264" t="s">
        <v>1074</v>
      </c>
      <c r="E439" s="4" t="s">
        <v>12</v>
      </c>
      <c r="F439" s="53">
        <v>10</v>
      </c>
      <c r="G439" s="13">
        <v>52.09</v>
      </c>
      <c r="H439" s="322">
        <f>G439*F439</f>
        <v>520.90000000000009</v>
      </c>
      <c r="I439" s="187"/>
      <c r="J439" s="182"/>
      <c r="K439" s="182"/>
      <c r="L439" s="182"/>
      <c r="M439" s="182"/>
      <c r="N439" s="182"/>
      <c r="O439" s="182"/>
    </row>
    <row r="440" spans="1:18" x14ac:dyDescent="0.25">
      <c r="A440" s="142" t="s">
        <v>860</v>
      </c>
      <c r="B440" s="124" t="s">
        <v>982</v>
      </c>
      <c r="C440" s="15" t="s">
        <v>1070</v>
      </c>
      <c r="D440" s="264" t="s">
        <v>1065</v>
      </c>
      <c r="E440" s="4" t="s">
        <v>8</v>
      </c>
      <c r="F440" s="53">
        <v>234.7</v>
      </c>
      <c r="G440" s="13">
        <v>172.95</v>
      </c>
      <c r="H440" s="322">
        <f t="shared" si="23"/>
        <v>40591.364999999998</v>
      </c>
      <c r="I440" s="187"/>
      <c r="J440" s="182"/>
      <c r="K440" s="182"/>
      <c r="L440" s="182"/>
      <c r="M440" s="182"/>
      <c r="N440" s="182"/>
      <c r="O440" s="182"/>
      <c r="R440" s="235"/>
    </row>
    <row r="441" spans="1:18" x14ac:dyDescent="0.25">
      <c r="A441" s="142" t="s">
        <v>861</v>
      </c>
      <c r="B441" s="124" t="s">
        <v>982</v>
      </c>
      <c r="C441" s="15" t="s">
        <v>1075</v>
      </c>
      <c r="D441" s="264" t="s">
        <v>1076</v>
      </c>
      <c r="E441" s="4" t="s">
        <v>8</v>
      </c>
      <c r="F441" s="53">
        <v>234.7</v>
      </c>
      <c r="G441" s="13">
        <v>87.98</v>
      </c>
      <c r="H441" s="322">
        <f t="shared" ref="H441:H448" si="24">G441*F441</f>
        <v>20648.905999999999</v>
      </c>
      <c r="I441" s="187"/>
      <c r="J441" s="182"/>
      <c r="K441" s="182"/>
      <c r="L441" s="182"/>
      <c r="M441" s="182"/>
      <c r="N441" s="182"/>
      <c r="O441" s="182"/>
      <c r="R441" s="235"/>
    </row>
    <row r="442" spans="1:18" x14ac:dyDescent="0.25">
      <c r="A442" s="142" t="s">
        <v>862</v>
      </c>
      <c r="B442" s="124" t="s">
        <v>982</v>
      </c>
      <c r="C442" s="15" t="s">
        <v>1082</v>
      </c>
      <c r="D442" s="264" t="s">
        <v>1077</v>
      </c>
      <c r="E442" s="4" t="s">
        <v>12</v>
      </c>
      <c r="F442" s="53">
        <v>158</v>
      </c>
      <c r="G442" s="13">
        <v>36.08</v>
      </c>
      <c r="H442" s="322">
        <f t="shared" si="24"/>
        <v>5700.6399999999994</v>
      </c>
      <c r="I442" s="187"/>
      <c r="J442" s="182"/>
      <c r="K442" s="182"/>
      <c r="L442" s="182"/>
      <c r="M442" s="182"/>
      <c r="N442" s="182"/>
      <c r="O442" s="182"/>
    </row>
    <row r="443" spans="1:18" x14ac:dyDescent="0.25">
      <c r="A443" s="142" t="s">
        <v>863</v>
      </c>
      <c r="B443" s="124" t="s">
        <v>982</v>
      </c>
      <c r="C443" s="15" t="s">
        <v>1071</v>
      </c>
      <c r="D443" s="264" t="s">
        <v>1066</v>
      </c>
      <c r="E443" s="4" t="s">
        <v>8</v>
      </c>
      <c r="F443" s="53">
        <v>13.2</v>
      </c>
      <c r="G443" s="13">
        <v>159.31</v>
      </c>
      <c r="H443" s="322">
        <f t="shared" si="24"/>
        <v>2102.8919999999998</v>
      </c>
      <c r="I443" s="187"/>
      <c r="J443" s="182"/>
      <c r="K443" s="182"/>
      <c r="L443" s="182"/>
      <c r="M443" s="182"/>
      <c r="N443" s="182"/>
      <c r="O443" s="182"/>
      <c r="R443" s="235"/>
    </row>
    <row r="444" spans="1:18" x14ac:dyDescent="0.25">
      <c r="A444" s="142" t="s">
        <v>864</v>
      </c>
      <c r="B444" s="124" t="s">
        <v>982</v>
      </c>
      <c r="C444" s="15" t="s">
        <v>1079</v>
      </c>
      <c r="D444" s="264" t="s">
        <v>1078</v>
      </c>
      <c r="E444" s="4" t="s">
        <v>8</v>
      </c>
      <c r="F444" s="53">
        <v>13.2</v>
      </c>
      <c r="G444" s="13">
        <v>71.739999999999995</v>
      </c>
      <c r="H444" s="322">
        <f t="shared" si="24"/>
        <v>946.96799999999985</v>
      </c>
      <c r="I444" s="187"/>
      <c r="J444" s="182"/>
      <c r="K444" s="182"/>
      <c r="L444" s="182"/>
      <c r="M444" s="182"/>
      <c r="N444" s="182"/>
      <c r="O444" s="182"/>
      <c r="R444" s="235"/>
    </row>
    <row r="445" spans="1:18" x14ac:dyDescent="0.25">
      <c r="A445" s="142" t="s">
        <v>865</v>
      </c>
      <c r="B445" s="124" t="s">
        <v>982</v>
      </c>
      <c r="C445" s="15" t="s">
        <v>1081</v>
      </c>
      <c r="D445" s="264" t="s">
        <v>1080</v>
      </c>
      <c r="E445" s="4" t="s">
        <v>8</v>
      </c>
      <c r="F445" s="53">
        <v>9</v>
      </c>
      <c r="G445" s="13">
        <v>32.79</v>
      </c>
      <c r="H445" s="322">
        <f t="shared" si="24"/>
        <v>295.11</v>
      </c>
      <c r="I445" s="187"/>
      <c r="J445" s="182"/>
      <c r="K445" s="182"/>
      <c r="L445" s="182"/>
      <c r="M445" s="182"/>
      <c r="N445" s="182"/>
      <c r="O445" s="182"/>
    </row>
    <row r="446" spans="1:18" x14ac:dyDescent="0.25">
      <c r="A446" s="142" t="s">
        <v>866</v>
      </c>
      <c r="B446" s="124" t="s">
        <v>982</v>
      </c>
      <c r="C446" s="15" t="s">
        <v>1062</v>
      </c>
      <c r="D446" s="264" t="s">
        <v>1067</v>
      </c>
      <c r="E446" s="4" t="s">
        <v>8</v>
      </c>
      <c r="F446" s="53">
        <v>16.399999999999999</v>
      </c>
      <c r="G446" s="13">
        <v>151.08000000000001</v>
      </c>
      <c r="H446" s="322">
        <f t="shared" si="24"/>
        <v>2477.712</v>
      </c>
      <c r="I446" s="187"/>
      <c r="J446" s="182"/>
      <c r="K446" s="182"/>
      <c r="L446" s="182"/>
      <c r="M446" s="182"/>
      <c r="N446" s="182"/>
      <c r="O446" s="182"/>
      <c r="R446" s="235"/>
    </row>
    <row r="447" spans="1:18" x14ac:dyDescent="0.25">
      <c r="A447" s="142" t="s">
        <v>867</v>
      </c>
      <c r="B447" s="124" t="s">
        <v>982</v>
      </c>
      <c r="C447" s="15" t="s">
        <v>1086</v>
      </c>
      <c r="D447" s="264" t="s">
        <v>1084</v>
      </c>
      <c r="E447" s="4" t="s">
        <v>8</v>
      </c>
      <c r="F447" s="53">
        <v>16.399999999999999</v>
      </c>
      <c r="G447" s="13">
        <v>52.06</v>
      </c>
      <c r="H447" s="322">
        <f t="shared" si="24"/>
        <v>853.78399999999999</v>
      </c>
      <c r="I447" s="187"/>
      <c r="J447" s="182"/>
      <c r="K447" s="182"/>
      <c r="L447" s="182"/>
      <c r="M447" s="182"/>
      <c r="N447" s="182"/>
      <c r="O447" s="182"/>
      <c r="R447" s="235"/>
    </row>
    <row r="448" spans="1:18" x14ac:dyDescent="0.25">
      <c r="A448" s="142" t="s">
        <v>868</v>
      </c>
      <c r="B448" s="124" t="s">
        <v>982</v>
      </c>
      <c r="C448" s="15" t="s">
        <v>1087</v>
      </c>
      <c r="D448" s="264" t="s">
        <v>1085</v>
      </c>
      <c r="E448" s="4" t="s">
        <v>8</v>
      </c>
      <c r="F448" s="53">
        <v>11</v>
      </c>
      <c r="G448" s="13">
        <v>29.46</v>
      </c>
      <c r="H448" s="322">
        <f t="shared" si="24"/>
        <v>324.06</v>
      </c>
      <c r="I448" s="187"/>
      <c r="J448" s="182"/>
      <c r="K448" s="182"/>
      <c r="L448" s="182"/>
      <c r="M448" s="182"/>
      <c r="N448" s="182"/>
      <c r="O448" s="182"/>
    </row>
    <row r="449" spans="1:19" x14ac:dyDescent="0.25">
      <c r="A449" s="142" t="s">
        <v>869</v>
      </c>
      <c r="B449" s="124" t="s">
        <v>982</v>
      </c>
      <c r="C449" s="15" t="s">
        <v>1071</v>
      </c>
      <c r="D449" s="264" t="s">
        <v>1068</v>
      </c>
      <c r="E449" s="4" t="s">
        <v>8</v>
      </c>
      <c r="F449" s="53">
        <v>27.6</v>
      </c>
      <c r="G449" s="13">
        <v>159.31</v>
      </c>
      <c r="H449" s="322">
        <f t="shared" ref="H449:H454" si="25">G449*F449</f>
        <v>4396.9560000000001</v>
      </c>
      <c r="I449" s="187"/>
      <c r="J449" s="182"/>
      <c r="K449" s="182"/>
      <c r="L449" s="182"/>
      <c r="M449" s="182"/>
      <c r="N449" s="182"/>
      <c r="O449" s="182"/>
    </row>
    <row r="450" spans="1:19" x14ac:dyDescent="0.25">
      <c r="A450" s="142" t="s">
        <v>870</v>
      </c>
      <c r="B450" s="124" t="s">
        <v>982</v>
      </c>
      <c r="C450" s="15" t="s">
        <v>1079</v>
      </c>
      <c r="D450" s="264" t="s">
        <v>1088</v>
      </c>
      <c r="E450" s="4" t="s">
        <v>8</v>
      </c>
      <c r="F450" s="53">
        <v>27.6</v>
      </c>
      <c r="G450" s="13">
        <v>71.739999999999995</v>
      </c>
      <c r="H450" s="322">
        <f t="shared" si="25"/>
        <v>1980.0239999999999</v>
      </c>
      <c r="I450" s="187"/>
      <c r="J450" s="182"/>
      <c r="K450" s="182"/>
      <c r="L450" s="182"/>
      <c r="M450" s="182"/>
      <c r="N450" s="182"/>
      <c r="O450" s="182"/>
    </row>
    <row r="451" spans="1:19" x14ac:dyDescent="0.25">
      <c r="A451" s="142" t="s">
        <v>871</v>
      </c>
      <c r="B451" s="124" t="s">
        <v>982</v>
      </c>
      <c r="C451" s="15" t="s">
        <v>1081</v>
      </c>
      <c r="D451" s="264" t="s">
        <v>1080</v>
      </c>
      <c r="E451" s="4" t="s">
        <v>8</v>
      </c>
      <c r="F451" s="53">
        <v>27.6</v>
      </c>
      <c r="G451" s="13">
        <v>32.79</v>
      </c>
      <c r="H451" s="322">
        <f t="shared" si="25"/>
        <v>905.00400000000002</v>
      </c>
      <c r="I451" s="187"/>
      <c r="J451" s="182"/>
      <c r="K451" s="182"/>
      <c r="L451" s="182"/>
      <c r="M451" s="182"/>
      <c r="N451" s="182"/>
      <c r="O451" s="182"/>
      <c r="R451" s="235"/>
    </row>
    <row r="452" spans="1:19" x14ac:dyDescent="0.25">
      <c r="A452" s="142" t="s">
        <v>872</v>
      </c>
      <c r="B452" s="124" t="s">
        <v>982</v>
      </c>
      <c r="C452" s="15" t="s">
        <v>1062</v>
      </c>
      <c r="D452" s="264" t="s">
        <v>1069</v>
      </c>
      <c r="E452" s="4" t="s">
        <v>8</v>
      </c>
      <c r="F452" s="53">
        <v>1.1000000000000001</v>
      </c>
      <c r="G452" s="13">
        <v>151.08000000000001</v>
      </c>
      <c r="H452" s="322">
        <f t="shared" si="25"/>
        <v>166.18800000000002</v>
      </c>
      <c r="I452" s="187"/>
      <c r="J452" s="182"/>
      <c r="K452" s="182"/>
      <c r="L452" s="182"/>
      <c r="M452" s="182"/>
      <c r="N452" s="182"/>
      <c r="O452" s="182"/>
      <c r="R452" s="235"/>
    </row>
    <row r="453" spans="1:19" x14ac:dyDescent="0.25">
      <c r="A453" s="142" t="s">
        <v>873</v>
      </c>
      <c r="B453" s="124" t="s">
        <v>982</v>
      </c>
      <c r="C453" s="15" t="s">
        <v>1086</v>
      </c>
      <c r="D453" s="264" t="s">
        <v>1084</v>
      </c>
      <c r="E453" s="4" t="s">
        <v>8</v>
      </c>
      <c r="F453" s="53">
        <v>1.1000000000000001</v>
      </c>
      <c r="G453" s="13">
        <v>52.06</v>
      </c>
      <c r="H453" s="322">
        <f t="shared" si="25"/>
        <v>57.266000000000005</v>
      </c>
      <c r="I453" s="187"/>
      <c r="J453" s="182"/>
      <c r="K453" s="182"/>
      <c r="L453" s="182"/>
      <c r="M453" s="182"/>
      <c r="N453" s="182"/>
      <c r="O453" s="182"/>
    </row>
    <row r="454" spans="1:19" x14ac:dyDescent="0.25">
      <c r="A454" s="142" t="s">
        <v>1089</v>
      </c>
      <c r="B454" s="124" t="s">
        <v>982</v>
      </c>
      <c r="C454" s="15" t="s">
        <v>1087</v>
      </c>
      <c r="D454" s="264" t="s">
        <v>1085</v>
      </c>
      <c r="E454" s="4" t="s">
        <v>8</v>
      </c>
      <c r="F454" s="53">
        <v>2</v>
      </c>
      <c r="G454" s="13">
        <v>29.46</v>
      </c>
      <c r="H454" s="322">
        <f t="shared" si="25"/>
        <v>58.92</v>
      </c>
      <c r="I454" s="187"/>
      <c r="J454" s="182"/>
      <c r="K454" s="182"/>
      <c r="L454" s="182"/>
      <c r="M454" s="182"/>
      <c r="N454" s="182"/>
      <c r="O454" s="182"/>
      <c r="R454" s="235"/>
    </row>
    <row r="455" spans="1:19" ht="23.25" x14ac:dyDescent="0.25">
      <c r="A455" s="142" t="s">
        <v>1090</v>
      </c>
      <c r="B455" s="124" t="s">
        <v>981</v>
      </c>
      <c r="C455" s="124">
        <v>91940</v>
      </c>
      <c r="D455" s="264" t="s">
        <v>454</v>
      </c>
      <c r="E455" s="4" t="s">
        <v>12</v>
      </c>
      <c r="F455" s="53">
        <v>1312</v>
      </c>
      <c r="G455" s="13">
        <v>24.75</v>
      </c>
      <c r="H455" s="322">
        <f t="shared" ref="H455:H462" si="26">G455*F455</f>
        <v>32472</v>
      </c>
      <c r="I455" s="175"/>
      <c r="J455" s="182"/>
      <c r="K455" s="182"/>
      <c r="L455" s="182"/>
      <c r="M455" s="182"/>
      <c r="N455" s="182"/>
      <c r="O455" s="182"/>
    </row>
    <row r="456" spans="1:19" ht="23.25" x14ac:dyDescent="0.25">
      <c r="A456" s="142" t="s">
        <v>1091</v>
      </c>
      <c r="B456" s="124" t="s">
        <v>981</v>
      </c>
      <c r="C456" s="124">
        <v>91937</v>
      </c>
      <c r="D456" s="264" t="s">
        <v>455</v>
      </c>
      <c r="E456" s="4" t="s">
        <v>12</v>
      </c>
      <c r="F456" s="53">
        <v>380</v>
      </c>
      <c r="G456" s="13">
        <v>20.96</v>
      </c>
      <c r="H456" s="322">
        <f t="shared" si="26"/>
        <v>7964.8</v>
      </c>
      <c r="I456" s="175"/>
      <c r="J456" s="182"/>
      <c r="K456" s="182"/>
      <c r="L456" s="182"/>
      <c r="M456" s="182"/>
      <c r="N456" s="182"/>
      <c r="O456" s="182"/>
    </row>
    <row r="457" spans="1:19" x14ac:dyDescent="0.25">
      <c r="A457" s="142" t="s">
        <v>1092</v>
      </c>
      <c r="B457" s="124" t="s">
        <v>1002</v>
      </c>
      <c r="C457" s="146" t="s">
        <v>1238</v>
      </c>
      <c r="D457" s="264" t="s">
        <v>457</v>
      </c>
      <c r="E457" s="4" t="s">
        <v>12</v>
      </c>
      <c r="F457" s="53">
        <v>4</v>
      </c>
      <c r="G457" s="115">
        <v>59.35</v>
      </c>
      <c r="H457" s="322">
        <f t="shared" si="26"/>
        <v>237.4</v>
      </c>
      <c r="I457" s="175"/>
    </row>
    <row r="458" spans="1:19" x14ac:dyDescent="0.25">
      <c r="A458" s="142" t="s">
        <v>1093</v>
      </c>
      <c r="B458" s="124" t="s">
        <v>1002</v>
      </c>
      <c r="C458" s="119" t="s">
        <v>1191</v>
      </c>
      <c r="D458" s="264" t="s">
        <v>458</v>
      </c>
      <c r="E458" s="4" t="s">
        <v>12</v>
      </c>
      <c r="F458" s="53">
        <v>3</v>
      </c>
      <c r="G458" s="115">
        <v>228.74</v>
      </c>
      <c r="H458" s="322">
        <f t="shared" si="26"/>
        <v>686.22</v>
      </c>
      <c r="I458" s="187"/>
    </row>
    <row r="459" spans="1:19" x14ac:dyDescent="0.25">
      <c r="A459" s="142" t="s">
        <v>1094</v>
      </c>
      <c r="B459" s="124" t="s">
        <v>982</v>
      </c>
      <c r="C459" s="310" t="s">
        <v>1190</v>
      </c>
      <c r="D459" s="264" t="s">
        <v>459</v>
      </c>
      <c r="E459" s="4" t="s">
        <v>12</v>
      </c>
      <c r="F459" s="53">
        <v>3</v>
      </c>
      <c r="G459" s="115">
        <v>133.47999999999999</v>
      </c>
      <c r="H459" s="322">
        <f t="shared" si="26"/>
        <v>400.43999999999994</v>
      </c>
      <c r="I459" s="187"/>
      <c r="R459" s="235"/>
    </row>
    <row r="460" spans="1:19" ht="15.75" customHeight="1" x14ac:dyDescent="0.25">
      <c r="A460" s="142" t="s">
        <v>1251</v>
      </c>
      <c r="B460" s="124" t="s">
        <v>982</v>
      </c>
      <c r="C460" s="15" t="s">
        <v>1097</v>
      </c>
      <c r="D460" s="14" t="s">
        <v>1098</v>
      </c>
      <c r="E460" s="4" t="s">
        <v>12</v>
      </c>
      <c r="F460" s="53">
        <v>10</v>
      </c>
      <c r="G460" s="13">
        <v>2820.49</v>
      </c>
      <c r="H460" s="322">
        <f t="shared" si="26"/>
        <v>28204.899999999998</v>
      </c>
      <c r="I460" s="189"/>
    </row>
    <row r="461" spans="1:19" ht="23.25" x14ac:dyDescent="0.25">
      <c r="A461" s="142" t="s">
        <v>1095</v>
      </c>
      <c r="B461" s="124" t="s">
        <v>982</v>
      </c>
      <c r="C461" s="15" t="s">
        <v>1100</v>
      </c>
      <c r="D461" s="264" t="s">
        <v>1099</v>
      </c>
      <c r="E461" s="4" t="s">
        <v>12</v>
      </c>
      <c r="F461" s="53">
        <v>1</v>
      </c>
      <c r="G461" s="13">
        <v>126100</v>
      </c>
      <c r="H461" s="322">
        <f t="shared" si="26"/>
        <v>126100</v>
      </c>
      <c r="I461" s="189"/>
      <c r="R461" s="241"/>
    </row>
    <row r="462" spans="1:19" ht="23.25" x14ac:dyDescent="0.25">
      <c r="A462" s="142" t="s">
        <v>1096</v>
      </c>
      <c r="B462" s="124" t="s">
        <v>982</v>
      </c>
      <c r="C462" s="15" t="s">
        <v>1102</v>
      </c>
      <c r="D462" s="264" t="s">
        <v>1101</v>
      </c>
      <c r="E462" s="4" t="s">
        <v>12</v>
      </c>
      <c r="F462" s="53">
        <v>1</v>
      </c>
      <c r="G462" s="13">
        <v>135800</v>
      </c>
      <c r="H462" s="322">
        <f t="shared" si="26"/>
        <v>135800</v>
      </c>
      <c r="I462" s="189"/>
      <c r="R462" s="241"/>
    </row>
    <row r="463" spans="1:19" x14ac:dyDescent="0.25">
      <c r="A463" s="342" t="s">
        <v>493</v>
      </c>
      <c r="B463" s="343"/>
      <c r="C463" s="343"/>
      <c r="D463" s="343"/>
      <c r="E463" s="343"/>
      <c r="F463" s="343"/>
      <c r="G463" s="343"/>
      <c r="H463" s="438">
        <f>SUM(H384:H462)</f>
        <v>1049492.0610000002</v>
      </c>
      <c r="S463" s="221"/>
    </row>
    <row r="464" spans="1:19" x14ac:dyDescent="0.25">
      <c r="A464" s="359" t="s">
        <v>895</v>
      </c>
      <c r="B464" s="360"/>
      <c r="C464" s="360"/>
      <c r="D464" s="361"/>
      <c r="E464" s="361"/>
      <c r="F464" s="361"/>
      <c r="G464" s="361"/>
      <c r="H464" s="437">
        <f>H463</f>
        <v>1049492.0610000002</v>
      </c>
      <c r="S464" s="222"/>
    </row>
    <row r="465" spans="1:19" x14ac:dyDescent="0.25">
      <c r="A465" s="142" t="s">
        <v>153</v>
      </c>
      <c r="B465" s="124"/>
      <c r="C465" s="305"/>
      <c r="D465" s="103" t="s">
        <v>478</v>
      </c>
      <c r="E465" s="269"/>
      <c r="F465" s="161"/>
      <c r="G465" s="112"/>
      <c r="H465" s="440"/>
    </row>
    <row r="466" spans="1:19" ht="25.5" x14ac:dyDescent="0.25">
      <c r="A466" s="142" t="s">
        <v>496</v>
      </c>
      <c r="B466" s="124" t="s">
        <v>981</v>
      </c>
      <c r="C466" s="124">
        <v>96974</v>
      </c>
      <c r="D466" s="108" t="s">
        <v>479</v>
      </c>
      <c r="E466" s="93" t="s">
        <v>8</v>
      </c>
      <c r="F466" s="287">
        <v>200</v>
      </c>
      <c r="G466" s="295">
        <v>83.23</v>
      </c>
      <c r="H466" s="323">
        <f t="shared" ref="H466:H471" si="27">G466*F466</f>
        <v>16646</v>
      </c>
    </row>
    <row r="467" spans="1:19" ht="25.5" x14ac:dyDescent="0.25">
      <c r="A467" s="142" t="s">
        <v>497</v>
      </c>
      <c r="B467" s="124" t="s">
        <v>981</v>
      </c>
      <c r="C467" s="124">
        <v>96971</v>
      </c>
      <c r="D467" s="55" t="s">
        <v>480</v>
      </c>
      <c r="E467" s="4" t="s">
        <v>8</v>
      </c>
      <c r="F467" s="53">
        <v>45</v>
      </c>
      <c r="G467" s="13">
        <v>37.299999999999997</v>
      </c>
      <c r="H467" s="322">
        <f t="shared" si="27"/>
        <v>1678.4999999999998</v>
      </c>
    </row>
    <row r="468" spans="1:19" x14ac:dyDescent="0.25">
      <c r="A468" s="142" t="s">
        <v>498</v>
      </c>
      <c r="B468" s="124" t="s">
        <v>982</v>
      </c>
      <c r="C468" s="15" t="s">
        <v>1106</v>
      </c>
      <c r="D468" s="55" t="s">
        <v>481</v>
      </c>
      <c r="E468" s="4" t="s">
        <v>483</v>
      </c>
      <c r="F468" s="53">
        <v>70</v>
      </c>
      <c r="G468" s="13">
        <v>17.22</v>
      </c>
      <c r="H468" s="322">
        <f t="shared" si="27"/>
        <v>1205.3999999999999</v>
      </c>
    </row>
    <row r="469" spans="1:19" x14ac:dyDescent="0.25">
      <c r="A469" s="142" t="s">
        <v>499</v>
      </c>
      <c r="B469" s="124" t="s">
        <v>982</v>
      </c>
      <c r="C469" s="85" t="s">
        <v>1107</v>
      </c>
      <c r="D469" s="55" t="s">
        <v>482</v>
      </c>
      <c r="E469" s="4" t="s">
        <v>483</v>
      </c>
      <c r="F469" s="53">
        <v>13</v>
      </c>
      <c r="G469" s="13">
        <v>32.380000000000003</v>
      </c>
      <c r="H469" s="322">
        <f t="shared" si="27"/>
        <v>420.94000000000005</v>
      </c>
    </row>
    <row r="470" spans="1:19" x14ac:dyDescent="0.25">
      <c r="A470" s="142" t="s">
        <v>500</v>
      </c>
      <c r="B470" s="124" t="s">
        <v>981</v>
      </c>
      <c r="C470" s="124" t="s">
        <v>485</v>
      </c>
      <c r="D470" s="55" t="s">
        <v>484</v>
      </c>
      <c r="E470" s="4" t="s">
        <v>12</v>
      </c>
      <c r="F470" s="53">
        <v>30</v>
      </c>
      <c r="G470" s="13">
        <v>37.74</v>
      </c>
      <c r="H470" s="322">
        <f t="shared" si="27"/>
        <v>1132.2</v>
      </c>
    </row>
    <row r="471" spans="1:19" x14ac:dyDescent="0.25">
      <c r="A471" s="142" t="s">
        <v>501</v>
      </c>
      <c r="B471" s="124" t="s">
        <v>982</v>
      </c>
      <c r="C471" s="15" t="s">
        <v>1103</v>
      </c>
      <c r="D471" s="55" t="s">
        <v>526</v>
      </c>
      <c r="E471" s="4" t="s">
        <v>12</v>
      </c>
      <c r="F471" s="53">
        <v>14</v>
      </c>
      <c r="G471" s="13">
        <v>35.18</v>
      </c>
      <c r="H471" s="322">
        <f t="shared" si="27"/>
        <v>492.52</v>
      </c>
    </row>
    <row r="472" spans="1:19" x14ac:dyDescent="0.25">
      <c r="A472" s="142" t="s">
        <v>502</v>
      </c>
      <c r="B472" s="124" t="s">
        <v>982</v>
      </c>
      <c r="C472" s="15" t="s">
        <v>1105</v>
      </c>
      <c r="D472" s="55" t="s">
        <v>527</v>
      </c>
      <c r="E472" s="4" t="s">
        <v>12</v>
      </c>
      <c r="F472" s="53">
        <v>2</v>
      </c>
      <c r="G472" s="13">
        <v>151.61000000000001</v>
      </c>
      <c r="H472" s="322">
        <f t="shared" ref="H472:H479" si="28">G472*F472</f>
        <v>303.22000000000003</v>
      </c>
    </row>
    <row r="473" spans="1:19" ht="25.5" x14ac:dyDescent="0.25">
      <c r="A473" s="142" t="s">
        <v>503</v>
      </c>
      <c r="B473" s="124" t="s">
        <v>982</v>
      </c>
      <c r="C473" s="15" t="s">
        <v>1104</v>
      </c>
      <c r="D473" s="56" t="s">
        <v>486</v>
      </c>
      <c r="E473" s="4" t="s">
        <v>487</v>
      </c>
      <c r="F473" s="53">
        <v>1</v>
      </c>
      <c r="G473" s="13">
        <v>119.36</v>
      </c>
      <c r="H473" s="322">
        <f t="shared" si="28"/>
        <v>119.36</v>
      </c>
    </row>
    <row r="474" spans="1:19" x14ac:dyDescent="0.25">
      <c r="A474" s="142" t="s">
        <v>504</v>
      </c>
      <c r="B474" s="124" t="s">
        <v>981</v>
      </c>
      <c r="C474" s="124">
        <v>96985</v>
      </c>
      <c r="D474" s="55" t="s">
        <v>488</v>
      </c>
      <c r="E474" s="4" t="s">
        <v>12</v>
      </c>
      <c r="F474" s="53">
        <v>13</v>
      </c>
      <c r="G474" s="13">
        <v>101.59</v>
      </c>
      <c r="H474" s="322">
        <f t="shared" si="28"/>
        <v>1320.67</v>
      </c>
    </row>
    <row r="475" spans="1:19" ht="25.5" x14ac:dyDescent="0.25">
      <c r="A475" s="317" t="s">
        <v>505</v>
      </c>
      <c r="B475" s="124" t="s">
        <v>981</v>
      </c>
      <c r="C475" s="124">
        <v>98111</v>
      </c>
      <c r="D475" s="136" t="s">
        <v>489</v>
      </c>
      <c r="E475" s="137" t="s">
        <v>12</v>
      </c>
      <c r="F475" s="53">
        <v>13</v>
      </c>
      <c r="G475" s="53">
        <v>57.93</v>
      </c>
      <c r="H475" s="322">
        <f t="shared" si="28"/>
        <v>753.09</v>
      </c>
      <c r="I475" s="191"/>
      <c r="J475" s="246"/>
      <c r="K475" s="246"/>
      <c r="L475" s="246"/>
      <c r="M475" s="246"/>
      <c r="N475" s="246"/>
      <c r="O475" s="246"/>
      <c r="P475" s="246"/>
      <c r="Q475" s="246"/>
    </row>
    <row r="476" spans="1:19" x14ac:dyDescent="0.25">
      <c r="A476" s="142" t="s">
        <v>506</v>
      </c>
      <c r="B476" s="124" t="s">
        <v>981</v>
      </c>
      <c r="C476" s="124">
        <v>96987</v>
      </c>
      <c r="D476" s="55" t="s">
        <v>490</v>
      </c>
      <c r="E476" s="4" t="s">
        <v>12</v>
      </c>
      <c r="F476" s="53">
        <v>1</v>
      </c>
      <c r="G476" s="13">
        <v>134.53</v>
      </c>
      <c r="H476" s="322">
        <f t="shared" si="28"/>
        <v>134.53</v>
      </c>
    </row>
    <row r="477" spans="1:19" x14ac:dyDescent="0.25">
      <c r="A477" s="142" t="s">
        <v>507</v>
      </c>
      <c r="B477" s="124" t="s">
        <v>981</v>
      </c>
      <c r="C477" s="124">
        <v>96988</v>
      </c>
      <c r="D477" s="55" t="s">
        <v>491</v>
      </c>
      <c r="E477" s="4" t="s">
        <v>12</v>
      </c>
      <c r="F477" s="53">
        <v>1</v>
      </c>
      <c r="G477" s="13">
        <v>158.35</v>
      </c>
      <c r="H477" s="322">
        <f t="shared" si="28"/>
        <v>158.35</v>
      </c>
    </row>
    <row r="478" spans="1:19" x14ac:dyDescent="0.25">
      <c r="A478" s="142" t="s">
        <v>524</v>
      </c>
      <c r="B478" s="124" t="s">
        <v>981</v>
      </c>
      <c r="C478" s="124">
        <v>96989</v>
      </c>
      <c r="D478" s="55" t="s">
        <v>492</v>
      </c>
      <c r="E478" s="4" t="s">
        <v>12</v>
      </c>
      <c r="F478" s="53">
        <v>1</v>
      </c>
      <c r="G478" s="13">
        <v>132.34</v>
      </c>
      <c r="H478" s="322">
        <f t="shared" si="28"/>
        <v>132.34</v>
      </c>
    </row>
    <row r="479" spans="1:19" ht="25.5" x14ac:dyDescent="0.25">
      <c r="A479" s="142" t="s">
        <v>525</v>
      </c>
      <c r="B479" s="124" t="s">
        <v>981</v>
      </c>
      <c r="C479" s="124">
        <v>98463</v>
      </c>
      <c r="D479" s="433" t="s">
        <v>494</v>
      </c>
      <c r="E479" s="4" t="s">
        <v>12</v>
      </c>
      <c r="F479" s="53">
        <v>200</v>
      </c>
      <c r="G479" s="13">
        <v>31.46</v>
      </c>
      <c r="H479" s="322">
        <f t="shared" si="28"/>
        <v>6292</v>
      </c>
    </row>
    <row r="480" spans="1:19" x14ac:dyDescent="0.25">
      <c r="A480" s="342" t="s">
        <v>925</v>
      </c>
      <c r="B480" s="343"/>
      <c r="C480" s="343"/>
      <c r="D480" s="343"/>
      <c r="E480" s="343"/>
      <c r="F480" s="343"/>
      <c r="G480" s="343"/>
      <c r="H480" s="438">
        <f>SUM(H466:H479)</f>
        <v>30789.120000000003</v>
      </c>
      <c r="S480" s="221"/>
    </row>
    <row r="481" spans="1:49" x14ac:dyDescent="0.25">
      <c r="A481" s="359" t="s">
        <v>896</v>
      </c>
      <c r="B481" s="360"/>
      <c r="C481" s="360"/>
      <c r="D481" s="361"/>
      <c r="E481" s="361"/>
      <c r="F481" s="361"/>
      <c r="G481" s="361"/>
      <c r="H481" s="437">
        <f>H480</f>
        <v>30789.120000000003</v>
      </c>
      <c r="S481" s="222"/>
    </row>
    <row r="482" spans="1:49" x14ac:dyDescent="0.25">
      <c r="A482" s="141" t="s">
        <v>573</v>
      </c>
      <c r="B482" s="15"/>
      <c r="C482" s="106"/>
      <c r="D482" s="109" t="s">
        <v>888</v>
      </c>
      <c r="E482" s="278"/>
      <c r="F482" s="288"/>
      <c r="G482" s="303"/>
      <c r="H482" s="439"/>
    </row>
    <row r="483" spans="1:49" x14ac:dyDescent="0.25">
      <c r="A483" s="141" t="s">
        <v>659</v>
      </c>
      <c r="B483" s="15" t="s">
        <v>982</v>
      </c>
      <c r="C483" s="15" t="s">
        <v>1110</v>
      </c>
      <c r="D483" s="104" t="s">
        <v>1111</v>
      </c>
      <c r="E483" s="89" t="s">
        <v>12</v>
      </c>
      <c r="F483" s="134">
        <v>3</v>
      </c>
      <c r="G483" s="111">
        <v>43205.72</v>
      </c>
      <c r="H483" s="323">
        <f>G483*F483</f>
        <v>129617.16</v>
      </c>
    </row>
    <row r="484" spans="1:49" x14ac:dyDescent="0.25">
      <c r="A484" s="141" t="s">
        <v>660</v>
      </c>
      <c r="B484" s="15" t="s">
        <v>982</v>
      </c>
      <c r="C484" s="15" t="s">
        <v>1112</v>
      </c>
      <c r="D484" s="264" t="s">
        <v>1113</v>
      </c>
      <c r="E484" s="4" t="s">
        <v>12</v>
      </c>
      <c r="F484" s="53">
        <v>1</v>
      </c>
      <c r="G484" s="13">
        <v>49800.05</v>
      </c>
      <c r="H484" s="322">
        <f t="shared" ref="H484:H490" si="29">G484*F484</f>
        <v>49800.05</v>
      </c>
    </row>
    <row r="485" spans="1:49" s="118" customFormat="1" x14ac:dyDescent="0.25">
      <c r="A485" s="141" t="s">
        <v>661</v>
      </c>
      <c r="B485" s="15" t="s">
        <v>982</v>
      </c>
      <c r="C485" s="15" t="s">
        <v>1114</v>
      </c>
      <c r="D485" s="264" t="s">
        <v>1115</v>
      </c>
      <c r="E485" s="4" t="s">
        <v>12</v>
      </c>
      <c r="F485" s="53">
        <v>1</v>
      </c>
      <c r="G485" s="13">
        <v>4872.53</v>
      </c>
      <c r="H485" s="322">
        <f t="shared" si="29"/>
        <v>4872.53</v>
      </c>
      <c r="I485" s="190"/>
      <c r="J485" s="184"/>
      <c r="K485" s="184"/>
      <c r="L485" s="184"/>
      <c r="M485" s="184"/>
      <c r="N485" s="184"/>
      <c r="O485" s="184"/>
      <c r="P485" s="184"/>
      <c r="Q485" s="184"/>
      <c r="R485" s="173"/>
      <c r="S485" s="209"/>
      <c r="T485" s="246"/>
      <c r="U485" s="246"/>
      <c r="V485" s="246"/>
      <c r="W485" s="246"/>
      <c r="X485" s="246"/>
      <c r="Y485" s="246"/>
      <c r="Z485" s="246"/>
      <c r="AA485" s="246"/>
      <c r="AB485" s="246"/>
      <c r="AC485" s="246"/>
      <c r="AD485" s="246"/>
      <c r="AE485" s="246"/>
      <c r="AF485" s="246"/>
      <c r="AG485" s="246"/>
      <c r="AH485" s="246"/>
      <c r="AI485" s="246"/>
      <c r="AJ485" s="246"/>
      <c r="AK485" s="246"/>
      <c r="AL485" s="246"/>
      <c r="AM485" s="246"/>
      <c r="AN485" s="246"/>
      <c r="AO485" s="246"/>
      <c r="AP485" s="246"/>
      <c r="AQ485" s="246"/>
      <c r="AR485" s="246"/>
      <c r="AS485" s="246"/>
      <c r="AT485" s="246"/>
      <c r="AU485" s="246"/>
      <c r="AV485" s="246"/>
      <c r="AW485" s="246"/>
    </row>
    <row r="486" spans="1:49" x14ac:dyDescent="0.25">
      <c r="A486" s="141" t="s">
        <v>662</v>
      </c>
      <c r="B486" s="15" t="s">
        <v>982</v>
      </c>
      <c r="C486" s="15" t="s">
        <v>1117</v>
      </c>
      <c r="D486" s="264" t="s">
        <v>1116</v>
      </c>
      <c r="E486" s="4" t="s">
        <v>12</v>
      </c>
      <c r="F486" s="53">
        <v>40</v>
      </c>
      <c r="G486" s="13">
        <v>6063.03</v>
      </c>
      <c r="H486" s="322">
        <f t="shared" si="29"/>
        <v>242521.19999999998</v>
      </c>
    </row>
    <row r="487" spans="1:49" x14ac:dyDescent="0.25">
      <c r="A487" s="141" t="s">
        <v>663</v>
      </c>
      <c r="B487" s="15" t="s">
        <v>982</v>
      </c>
      <c r="C487" s="15" t="s">
        <v>1119</v>
      </c>
      <c r="D487" s="264" t="s">
        <v>1118</v>
      </c>
      <c r="E487" s="4" t="s">
        <v>12</v>
      </c>
      <c r="F487" s="53">
        <v>11</v>
      </c>
      <c r="G487" s="13">
        <v>6018.38</v>
      </c>
      <c r="H487" s="322">
        <f t="shared" si="29"/>
        <v>66202.180000000008</v>
      </c>
    </row>
    <row r="488" spans="1:49" x14ac:dyDescent="0.25">
      <c r="A488" s="141" t="s">
        <v>664</v>
      </c>
      <c r="B488" s="15" t="s">
        <v>982</v>
      </c>
      <c r="C488" s="15" t="s">
        <v>1121</v>
      </c>
      <c r="D488" s="264" t="s">
        <v>1120</v>
      </c>
      <c r="E488" s="4" t="s">
        <v>12</v>
      </c>
      <c r="F488" s="53">
        <v>8</v>
      </c>
      <c r="G488" s="13">
        <v>6994.22</v>
      </c>
      <c r="H488" s="322">
        <f t="shared" si="29"/>
        <v>55953.760000000002</v>
      </c>
    </row>
    <row r="489" spans="1:49" ht="15" customHeight="1" x14ac:dyDescent="0.25">
      <c r="A489" s="141" t="s">
        <v>874</v>
      </c>
      <c r="B489" s="15" t="s">
        <v>981</v>
      </c>
      <c r="C489" s="15">
        <v>103289</v>
      </c>
      <c r="D489" s="264" t="s">
        <v>538</v>
      </c>
      <c r="E489" s="4" t="s">
        <v>8</v>
      </c>
      <c r="F489" s="53">
        <v>535.12</v>
      </c>
      <c r="G489" s="13">
        <v>31.33</v>
      </c>
      <c r="H489" s="322">
        <f>G489*F489</f>
        <v>16765.309600000001</v>
      </c>
    </row>
    <row r="490" spans="1:49" ht="14.25" customHeight="1" x14ac:dyDescent="0.25">
      <c r="A490" s="141" t="s">
        <v>875</v>
      </c>
      <c r="B490" s="15" t="s">
        <v>981</v>
      </c>
      <c r="C490" s="15">
        <v>103290</v>
      </c>
      <c r="D490" s="264" t="s">
        <v>539</v>
      </c>
      <c r="E490" s="4" t="s">
        <v>8</v>
      </c>
      <c r="F490" s="53">
        <v>93.42</v>
      </c>
      <c r="G490" s="13">
        <v>47.56</v>
      </c>
      <c r="H490" s="322">
        <f t="shared" si="29"/>
        <v>4443.0552000000007</v>
      </c>
    </row>
    <row r="491" spans="1:49" ht="23.25" x14ac:dyDescent="0.25">
      <c r="A491" s="141" t="s">
        <v>876</v>
      </c>
      <c r="B491" s="15" t="s">
        <v>981</v>
      </c>
      <c r="C491" s="15">
        <v>103291</v>
      </c>
      <c r="D491" s="7" t="s">
        <v>540</v>
      </c>
      <c r="E491" s="4" t="s">
        <v>8</v>
      </c>
      <c r="F491" s="53">
        <v>535.12</v>
      </c>
      <c r="G491" s="13">
        <v>59.47</v>
      </c>
      <c r="H491" s="322">
        <f t="shared" ref="H491:H498" si="30">G491*F491</f>
        <v>31823.5864</v>
      </c>
    </row>
    <row r="492" spans="1:49" ht="23.25" x14ac:dyDescent="0.25">
      <c r="A492" s="141" t="s">
        <v>877</v>
      </c>
      <c r="B492" s="15" t="s">
        <v>981</v>
      </c>
      <c r="C492" s="15">
        <v>103292</v>
      </c>
      <c r="D492" s="7" t="s">
        <v>543</v>
      </c>
      <c r="E492" s="4" t="s">
        <v>8</v>
      </c>
      <c r="F492" s="53">
        <v>270.32</v>
      </c>
      <c r="G492" s="13">
        <v>71.540000000000006</v>
      </c>
      <c r="H492" s="322">
        <f t="shared" si="30"/>
        <v>19338.692800000001</v>
      </c>
    </row>
    <row r="493" spans="1:49" ht="23.25" x14ac:dyDescent="0.25">
      <c r="A493" s="141" t="s">
        <v>878</v>
      </c>
      <c r="B493" s="15" t="s">
        <v>981</v>
      </c>
      <c r="C493" s="15">
        <v>92308</v>
      </c>
      <c r="D493" s="57" t="s">
        <v>541</v>
      </c>
      <c r="E493" s="11"/>
      <c r="F493" s="53">
        <v>80.45</v>
      </c>
      <c r="G493" s="13">
        <v>54.25</v>
      </c>
      <c r="H493" s="322">
        <f t="shared" si="30"/>
        <v>4364.4125000000004</v>
      </c>
    </row>
    <row r="494" spans="1:49" ht="23.25" x14ac:dyDescent="0.25">
      <c r="A494" s="141" t="s">
        <v>879</v>
      </c>
      <c r="B494" s="15" t="s">
        <v>981</v>
      </c>
      <c r="C494" s="15">
        <v>92309</v>
      </c>
      <c r="D494" s="7" t="s">
        <v>542</v>
      </c>
      <c r="E494" s="4" t="s">
        <v>8</v>
      </c>
      <c r="F494" s="53">
        <v>80.45</v>
      </c>
      <c r="G494" s="13">
        <v>116.44</v>
      </c>
      <c r="H494" s="322">
        <f t="shared" si="30"/>
        <v>9367.598</v>
      </c>
    </row>
    <row r="495" spans="1:49" ht="23.25" x14ac:dyDescent="0.25">
      <c r="A495" s="141" t="s">
        <v>880</v>
      </c>
      <c r="B495" s="15" t="s">
        <v>981</v>
      </c>
      <c r="C495" s="15">
        <v>92311</v>
      </c>
      <c r="D495" s="7" t="s">
        <v>420</v>
      </c>
      <c r="E495" s="4" t="s">
        <v>12</v>
      </c>
      <c r="F495" s="53">
        <v>20</v>
      </c>
      <c r="G495" s="13">
        <v>14.92</v>
      </c>
      <c r="H495" s="322">
        <f t="shared" si="30"/>
        <v>298.39999999999998</v>
      </c>
    </row>
    <row r="496" spans="1:49" ht="23.25" x14ac:dyDescent="0.25">
      <c r="A496" s="141" t="s">
        <v>881</v>
      </c>
      <c r="B496" s="15" t="s">
        <v>981</v>
      </c>
      <c r="C496" s="15">
        <v>92314</v>
      </c>
      <c r="D496" s="7" t="s">
        <v>547</v>
      </c>
      <c r="E496" s="4" t="s">
        <v>12</v>
      </c>
      <c r="F496" s="53">
        <v>27</v>
      </c>
      <c r="G496" s="13">
        <v>10.130000000000001</v>
      </c>
      <c r="H496" s="322">
        <f t="shared" si="30"/>
        <v>273.51000000000005</v>
      </c>
    </row>
    <row r="497" spans="1:19" ht="23.25" x14ac:dyDescent="0.25">
      <c r="A497" s="141" t="s">
        <v>882</v>
      </c>
      <c r="B497" s="15" t="s">
        <v>981</v>
      </c>
      <c r="C497" s="15">
        <v>92315</v>
      </c>
      <c r="D497" s="7" t="s">
        <v>548</v>
      </c>
      <c r="E497" s="4" t="s">
        <v>12</v>
      </c>
      <c r="F497" s="53">
        <v>27</v>
      </c>
      <c r="G497" s="13">
        <v>14.34</v>
      </c>
      <c r="H497" s="322">
        <f t="shared" si="30"/>
        <v>387.18</v>
      </c>
    </row>
    <row r="498" spans="1:19" ht="23.25" x14ac:dyDescent="0.25">
      <c r="A498" s="141" t="s">
        <v>883</v>
      </c>
      <c r="B498" s="15" t="s">
        <v>981</v>
      </c>
      <c r="C498" s="15">
        <v>92312</v>
      </c>
      <c r="D498" s="7" t="s">
        <v>546</v>
      </c>
      <c r="E498" s="4" t="s">
        <v>12</v>
      </c>
      <c r="F498" s="53">
        <v>20</v>
      </c>
      <c r="G498" s="13">
        <v>24.03</v>
      </c>
      <c r="H498" s="322">
        <f t="shared" si="30"/>
        <v>480.6</v>
      </c>
    </row>
    <row r="499" spans="1:19" x14ac:dyDescent="0.25">
      <c r="A499" s="342" t="s">
        <v>926</v>
      </c>
      <c r="B499" s="343"/>
      <c r="C499" s="343"/>
      <c r="D499" s="343"/>
      <c r="E499" s="343"/>
      <c r="F499" s="343"/>
      <c r="G499" s="343"/>
      <c r="H499" s="438">
        <f>SUM(H483:H498)</f>
        <v>636509.22450000001</v>
      </c>
      <c r="S499" s="221"/>
    </row>
    <row r="500" spans="1:19" x14ac:dyDescent="0.25">
      <c r="A500" s="359" t="s">
        <v>897</v>
      </c>
      <c r="B500" s="360"/>
      <c r="C500" s="360"/>
      <c r="D500" s="360"/>
      <c r="E500" s="360"/>
      <c r="F500" s="360"/>
      <c r="G500" s="360"/>
      <c r="H500" s="442">
        <f>H499</f>
        <v>636509.22450000001</v>
      </c>
      <c r="S500" s="222"/>
    </row>
    <row r="501" spans="1:19" x14ac:dyDescent="0.25">
      <c r="A501" s="141" t="s">
        <v>574</v>
      </c>
      <c r="B501" s="15"/>
      <c r="C501" s="15"/>
      <c r="D501" s="364" t="s">
        <v>21</v>
      </c>
      <c r="E501" s="365"/>
      <c r="F501" s="365"/>
      <c r="G501" s="365"/>
      <c r="H501" s="366"/>
      <c r="I501" s="192"/>
    </row>
    <row r="502" spans="1:19" ht="33.75" x14ac:dyDescent="0.25">
      <c r="A502" s="141" t="s">
        <v>665</v>
      </c>
      <c r="B502" s="15" t="s">
        <v>981</v>
      </c>
      <c r="C502" s="15">
        <v>96765</v>
      </c>
      <c r="D502" s="54" t="s">
        <v>495</v>
      </c>
      <c r="E502" s="11" t="s">
        <v>12</v>
      </c>
      <c r="F502" s="53">
        <v>4</v>
      </c>
      <c r="G502" s="13">
        <v>1763.44</v>
      </c>
      <c r="H502" s="329">
        <f>G502*F502</f>
        <v>7053.76</v>
      </c>
      <c r="I502" s="193"/>
      <c r="J502" s="231"/>
      <c r="K502" s="231"/>
      <c r="L502" s="231"/>
      <c r="M502" s="231"/>
      <c r="N502" s="231"/>
      <c r="O502" s="231"/>
      <c r="P502" s="231"/>
      <c r="Q502" s="231"/>
      <c r="R502" s="223"/>
    </row>
    <row r="503" spans="1:19" ht="22.5" x14ac:dyDescent="0.25">
      <c r="A503" s="141" t="s">
        <v>666</v>
      </c>
      <c r="B503" s="15" t="s">
        <v>981</v>
      </c>
      <c r="C503" s="15">
        <v>101916</v>
      </c>
      <c r="D503" s="54" t="s">
        <v>519</v>
      </c>
      <c r="E503" s="11" t="s">
        <v>12</v>
      </c>
      <c r="F503" s="53">
        <v>1</v>
      </c>
      <c r="G503" s="13">
        <v>3650.95</v>
      </c>
      <c r="H503" s="329">
        <f>G503*F503</f>
        <v>3650.95</v>
      </c>
    </row>
    <row r="504" spans="1:19" x14ac:dyDescent="0.25">
      <c r="A504" s="141" t="s">
        <v>667</v>
      </c>
      <c r="B504" s="15" t="s">
        <v>981</v>
      </c>
      <c r="C504" s="15">
        <v>134973</v>
      </c>
      <c r="D504" s="14" t="s">
        <v>508</v>
      </c>
      <c r="E504" s="11" t="s">
        <v>12</v>
      </c>
      <c r="F504" s="53">
        <v>4</v>
      </c>
      <c r="G504" s="13">
        <v>79.010000000000005</v>
      </c>
      <c r="H504" s="329">
        <f>G504*F504</f>
        <v>316.04000000000002</v>
      </c>
    </row>
    <row r="505" spans="1:19" x14ac:dyDescent="0.25">
      <c r="A505" s="141" t="s">
        <v>668</v>
      </c>
      <c r="B505" s="15" t="s">
        <v>981</v>
      </c>
      <c r="C505" s="15">
        <v>134677</v>
      </c>
      <c r="D505" s="14" t="s">
        <v>509</v>
      </c>
      <c r="E505" s="11" t="s">
        <v>12</v>
      </c>
      <c r="F505" s="53">
        <v>4</v>
      </c>
      <c r="G505" s="13">
        <v>183.75</v>
      </c>
      <c r="H505" s="329">
        <f>G505*F505</f>
        <v>735</v>
      </c>
    </row>
    <row r="506" spans="1:19" x14ac:dyDescent="0.25">
      <c r="A506" s="141" t="s">
        <v>669</v>
      </c>
      <c r="B506" s="15" t="s">
        <v>981</v>
      </c>
      <c r="C506" s="15">
        <v>134691</v>
      </c>
      <c r="D506" s="14" t="s">
        <v>510</v>
      </c>
      <c r="E506" s="11" t="s">
        <v>12</v>
      </c>
      <c r="F506" s="53">
        <v>4</v>
      </c>
      <c r="G506" s="13">
        <v>93.04</v>
      </c>
      <c r="H506" s="329">
        <f>G506*F506</f>
        <v>372.16</v>
      </c>
    </row>
    <row r="507" spans="1:19" x14ac:dyDescent="0.25">
      <c r="A507" s="141" t="s">
        <v>670</v>
      </c>
      <c r="B507" s="15" t="s">
        <v>982</v>
      </c>
      <c r="C507" s="15" t="s">
        <v>1239</v>
      </c>
      <c r="D507" s="14" t="s">
        <v>1122</v>
      </c>
      <c r="E507" s="11" t="s">
        <v>12</v>
      </c>
      <c r="F507" s="53">
        <v>1</v>
      </c>
      <c r="G507" s="13">
        <v>712.4</v>
      </c>
      <c r="H507" s="329">
        <f t="shared" ref="H507:H516" si="31">G507*F507</f>
        <v>712.4</v>
      </c>
    </row>
    <row r="508" spans="1:19" x14ac:dyDescent="0.25">
      <c r="A508" s="141" t="s">
        <v>671</v>
      </c>
      <c r="B508" s="15" t="s">
        <v>982</v>
      </c>
      <c r="C508" s="15" t="s">
        <v>1123</v>
      </c>
      <c r="D508" s="14" t="s">
        <v>511</v>
      </c>
      <c r="E508" s="11" t="s">
        <v>12</v>
      </c>
      <c r="F508" s="53">
        <v>80</v>
      </c>
      <c r="G508" s="13">
        <v>187.83</v>
      </c>
      <c r="H508" s="329">
        <f t="shared" si="31"/>
        <v>15026.400000000001</v>
      </c>
    </row>
    <row r="509" spans="1:19" x14ac:dyDescent="0.25">
      <c r="A509" s="141" t="s">
        <v>672</v>
      </c>
      <c r="B509" s="15" t="s">
        <v>981</v>
      </c>
      <c r="C509" s="15">
        <v>155829</v>
      </c>
      <c r="D509" s="14" t="s">
        <v>512</v>
      </c>
      <c r="E509" s="11" t="s">
        <v>12</v>
      </c>
      <c r="F509" s="53">
        <v>1</v>
      </c>
      <c r="G509" s="13">
        <v>8941.73</v>
      </c>
      <c r="H509" s="329">
        <f t="shared" si="31"/>
        <v>8941.73</v>
      </c>
    </row>
    <row r="510" spans="1:19" ht="20.100000000000001" customHeight="1" x14ac:dyDescent="0.25">
      <c r="A510" s="141" t="s">
        <v>673</v>
      </c>
      <c r="B510" s="15" t="s">
        <v>981</v>
      </c>
      <c r="C510" s="15">
        <v>101876</v>
      </c>
      <c r="D510" s="54" t="s">
        <v>513</v>
      </c>
      <c r="E510" s="11" t="s">
        <v>12</v>
      </c>
      <c r="F510" s="53">
        <v>8</v>
      </c>
      <c r="G510" s="13">
        <v>82.61</v>
      </c>
      <c r="H510" s="330">
        <f t="shared" si="31"/>
        <v>660.88</v>
      </c>
    </row>
    <row r="511" spans="1:19" ht="22.5" x14ac:dyDescent="0.25">
      <c r="A511" s="141" t="s">
        <v>674</v>
      </c>
      <c r="B511" s="15" t="s">
        <v>981</v>
      </c>
      <c r="C511" s="15">
        <v>99624</v>
      </c>
      <c r="D511" s="54" t="s">
        <v>514</v>
      </c>
      <c r="E511" s="11" t="s">
        <v>12</v>
      </c>
      <c r="F511" s="53">
        <v>2</v>
      </c>
      <c r="G511" s="13">
        <v>543.84</v>
      </c>
      <c r="H511" s="329">
        <f t="shared" si="31"/>
        <v>1087.68</v>
      </c>
    </row>
    <row r="512" spans="1:19" ht="22.5" x14ac:dyDescent="0.25">
      <c r="A512" s="141" t="s">
        <v>675</v>
      </c>
      <c r="B512" s="15" t="s">
        <v>981</v>
      </c>
      <c r="C512" s="15">
        <v>94499</v>
      </c>
      <c r="D512" s="54" t="s">
        <v>515</v>
      </c>
      <c r="E512" s="11" t="s">
        <v>12</v>
      </c>
      <c r="F512" s="53">
        <v>2</v>
      </c>
      <c r="G512" s="13">
        <v>241.58</v>
      </c>
      <c r="H512" s="329">
        <f t="shared" si="31"/>
        <v>483.16</v>
      </c>
    </row>
    <row r="513" spans="1:19" ht="22.5" x14ac:dyDescent="0.25">
      <c r="A513" s="141" t="s">
        <v>676</v>
      </c>
      <c r="B513" s="15" t="s">
        <v>981</v>
      </c>
      <c r="C513" s="15">
        <v>92336</v>
      </c>
      <c r="D513" s="54" t="s">
        <v>516</v>
      </c>
      <c r="E513" s="11" t="s">
        <v>8</v>
      </c>
      <c r="F513" s="53">
        <v>62.55</v>
      </c>
      <c r="G513" s="13">
        <v>124.11</v>
      </c>
      <c r="H513" s="329">
        <f t="shared" si="31"/>
        <v>7763.0805</v>
      </c>
    </row>
    <row r="514" spans="1:19" ht="33.75" x14ac:dyDescent="0.25">
      <c r="A514" s="141" t="s">
        <v>677</v>
      </c>
      <c r="B514" s="15" t="s">
        <v>981</v>
      </c>
      <c r="C514" s="15">
        <v>94473</v>
      </c>
      <c r="D514" s="54" t="s">
        <v>517</v>
      </c>
      <c r="E514" s="11" t="s">
        <v>12</v>
      </c>
      <c r="F514" s="53">
        <v>12</v>
      </c>
      <c r="G514" s="13">
        <v>132.82</v>
      </c>
      <c r="H514" s="329">
        <f t="shared" si="31"/>
        <v>1593.84</v>
      </c>
    </row>
    <row r="515" spans="1:19" ht="22.5" x14ac:dyDescent="0.25">
      <c r="A515" s="141" t="s">
        <v>678</v>
      </c>
      <c r="B515" s="15" t="s">
        <v>981</v>
      </c>
      <c r="C515" s="15">
        <v>97440</v>
      </c>
      <c r="D515" s="54" t="s">
        <v>518</v>
      </c>
      <c r="E515" s="11" t="s">
        <v>12</v>
      </c>
      <c r="F515" s="53">
        <v>4</v>
      </c>
      <c r="G515" s="13">
        <v>184.88</v>
      </c>
      <c r="H515" s="329">
        <f t="shared" si="31"/>
        <v>739.52</v>
      </c>
    </row>
    <row r="516" spans="1:19" x14ac:dyDescent="0.25">
      <c r="A516" s="141" t="s">
        <v>679</v>
      </c>
      <c r="B516" s="15" t="s">
        <v>982</v>
      </c>
      <c r="C516" s="15" t="s">
        <v>1124</v>
      </c>
      <c r="D516" s="54" t="s">
        <v>1125</v>
      </c>
      <c r="E516" s="11" t="s">
        <v>12</v>
      </c>
      <c r="F516" s="53">
        <v>55</v>
      </c>
      <c r="G516" s="13">
        <v>19.03</v>
      </c>
      <c r="H516" s="329">
        <f t="shared" si="31"/>
        <v>1046.6500000000001</v>
      </c>
    </row>
    <row r="517" spans="1:19" ht="22.5" x14ac:dyDescent="0.25">
      <c r="A517" s="141" t="s">
        <v>884</v>
      </c>
      <c r="B517" s="15" t="s">
        <v>981</v>
      </c>
      <c r="C517" s="15">
        <v>101905</v>
      </c>
      <c r="D517" s="54" t="s">
        <v>520</v>
      </c>
      <c r="E517" s="11" t="s">
        <v>12</v>
      </c>
      <c r="F517" s="53">
        <v>8</v>
      </c>
      <c r="G517" s="13">
        <v>227.26</v>
      </c>
      <c r="H517" s="329">
        <f>G517*F517</f>
        <v>1818.08</v>
      </c>
    </row>
    <row r="518" spans="1:19" ht="22.5" x14ac:dyDescent="0.25">
      <c r="A518" s="141" t="s">
        <v>885</v>
      </c>
      <c r="B518" s="15" t="s">
        <v>981</v>
      </c>
      <c r="C518" s="15">
        <v>101908</v>
      </c>
      <c r="D518" s="54" t="s">
        <v>521</v>
      </c>
      <c r="E518" s="11" t="s">
        <v>12</v>
      </c>
      <c r="F518" s="53">
        <v>5</v>
      </c>
      <c r="G518" s="13">
        <v>220.78</v>
      </c>
      <c r="H518" s="329">
        <f>G518*F518</f>
        <v>1103.9000000000001</v>
      </c>
    </row>
    <row r="519" spans="1:19" ht="22.5" x14ac:dyDescent="0.25">
      <c r="A519" s="141" t="s">
        <v>886</v>
      </c>
      <c r="B519" s="15" t="s">
        <v>981</v>
      </c>
      <c r="C519" s="15">
        <v>101907</v>
      </c>
      <c r="D519" s="54" t="s">
        <v>522</v>
      </c>
      <c r="E519" s="11" t="s">
        <v>12</v>
      </c>
      <c r="F519" s="53">
        <v>2</v>
      </c>
      <c r="G519" s="13">
        <v>704.54</v>
      </c>
      <c r="H519" s="329">
        <f>G519*F519</f>
        <v>1409.08</v>
      </c>
    </row>
    <row r="520" spans="1:19" ht="22.5" x14ac:dyDescent="0.25">
      <c r="A520" s="141" t="s">
        <v>887</v>
      </c>
      <c r="B520" s="15" t="s">
        <v>981</v>
      </c>
      <c r="C520" s="15">
        <v>97599</v>
      </c>
      <c r="D520" s="54" t="s">
        <v>523</v>
      </c>
      <c r="E520" s="11" t="s">
        <v>12</v>
      </c>
      <c r="F520" s="53">
        <v>40</v>
      </c>
      <c r="G520" s="13">
        <v>28.67</v>
      </c>
      <c r="H520" s="329">
        <f>G520*F520</f>
        <v>1146.8000000000002</v>
      </c>
    </row>
    <row r="521" spans="1:19" ht="22.5" x14ac:dyDescent="0.25">
      <c r="A521" s="141" t="s">
        <v>1126</v>
      </c>
      <c r="B521" s="15" t="s">
        <v>982</v>
      </c>
      <c r="C521" s="15" t="s">
        <v>1127</v>
      </c>
      <c r="D521" s="54" t="s">
        <v>1128</v>
      </c>
      <c r="E521" s="11" t="s">
        <v>6</v>
      </c>
      <c r="F521" s="53">
        <v>987</v>
      </c>
      <c r="G521" s="13">
        <v>382.16</v>
      </c>
      <c r="H521" s="329">
        <f>G521*F521</f>
        <v>377191.92000000004</v>
      </c>
    </row>
    <row r="522" spans="1:19" x14ac:dyDescent="0.25">
      <c r="A522" s="342" t="s">
        <v>927</v>
      </c>
      <c r="B522" s="343"/>
      <c r="C522" s="343"/>
      <c r="D522" s="343"/>
      <c r="E522" s="343"/>
      <c r="F522" s="343"/>
      <c r="G522" s="343"/>
      <c r="H522" s="438">
        <f>SUM(H502:H521)</f>
        <v>432853.03050000005</v>
      </c>
      <c r="S522" s="221"/>
    </row>
    <row r="523" spans="1:19" x14ac:dyDescent="0.25">
      <c r="A523" s="388" t="s">
        <v>898</v>
      </c>
      <c r="B523" s="361"/>
      <c r="C523" s="361"/>
      <c r="D523" s="361"/>
      <c r="E523" s="361"/>
      <c r="F523" s="361"/>
      <c r="G523" s="361"/>
      <c r="H523" s="437">
        <f>H522</f>
        <v>432853.03050000005</v>
      </c>
      <c r="S523" s="222"/>
    </row>
    <row r="524" spans="1:19" x14ac:dyDescent="0.25">
      <c r="A524" s="141" t="s">
        <v>680</v>
      </c>
      <c r="B524" s="15"/>
      <c r="C524" s="106"/>
      <c r="D524" s="103" t="s">
        <v>1153</v>
      </c>
      <c r="E524" s="269"/>
      <c r="F524" s="161"/>
      <c r="G524" s="112"/>
      <c r="H524" s="440"/>
    </row>
    <row r="525" spans="1:19" ht="23.25" x14ac:dyDescent="0.25">
      <c r="A525" s="141" t="s">
        <v>681</v>
      </c>
      <c r="B525" s="15" t="s">
        <v>981</v>
      </c>
      <c r="C525" s="15">
        <v>92308</v>
      </c>
      <c r="D525" s="107" t="s">
        <v>418</v>
      </c>
      <c r="E525" s="93" t="s">
        <v>8</v>
      </c>
      <c r="F525" s="134">
        <v>37.130000000000003</v>
      </c>
      <c r="G525" s="111">
        <v>54.25</v>
      </c>
      <c r="H525" s="323">
        <f>G525*F525</f>
        <v>2014.3025000000002</v>
      </c>
    </row>
    <row r="526" spans="1:19" ht="23.25" x14ac:dyDescent="0.25">
      <c r="A526" s="141" t="s">
        <v>682</v>
      </c>
      <c r="B526" s="15" t="s">
        <v>981</v>
      </c>
      <c r="C526" s="15">
        <v>92309</v>
      </c>
      <c r="D526" s="264" t="s">
        <v>419</v>
      </c>
      <c r="E526" s="11" t="s">
        <v>8</v>
      </c>
      <c r="F526" s="53">
        <v>158.52000000000001</v>
      </c>
      <c r="G526" s="13">
        <v>116.44</v>
      </c>
      <c r="H526" s="322">
        <f>G526*F526</f>
        <v>18458.068800000001</v>
      </c>
    </row>
    <row r="527" spans="1:19" ht="23.25" x14ac:dyDescent="0.25">
      <c r="A527" s="141" t="s">
        <v>1142</v>
      </c>
      <c r="B527" s="15" t="s">
        <v>981</v>
      </c>
      <c r="C527" s="15">
        <v>92311</v>
      </c>
      <c r="D527" s="264" t="s">
        <v>420</v>
      </c>
      <c r="E527" s="11" t="s">
        <v>12</v>
      </c>
      <c r="F527" s="53">
        <v>8</v>
      </c>
      <c r="G527" s="13">
        <v>14.92</v>
      </c>
      <c r="H527" s="322">
        <f t="shared" ref="H527:H540" si="32">G527*F527</f>
        <v>119.36</v>
      </c>
    </row>
    <row r="528" spans="1:19" ht="23.25" x14ac:dyDescent="0.25">
      <c r="A528" s="141" t="s">
        <v>1143</v>
      </c>
      <c r="B528" s="15" t="s">
        <v>981</v>
      </c>
      <c r="C528" s="15">
        <v>92312</v>
      </c>
      <c r="D528" s="264" t="s">
        <v>546</v>
      </c>
      <c r="E528" s="11" t="s">
        <v>12</v>
      </c>
      <c r="F528" s="53">
        <v>32</v>
      </c>
      <c r="G528" s="13">
        <v>24.03</v>
      </c>
      <c r="H528" s="322">
        <f t="shared" si="32"/>
        <v>768.96</v>
      </c>
    </row>
    <row r="529" spans="1:19" ht="23.25" x14ac:dyDescent="0.25">
      <c r="A529" s="141" t="s">
        <v>1144</v>
      </c>
      <c r="B529" s="15" t="s">
        <v>981</v>
      </c>
      <c r="C529" s="15">
        <v>93057</v>
      </c>
      <c r="D529" s="264" t="s">
        <v>421</v>
      </c>
      <c r="E529" s="11" t="s">
        <v>12</v>
      </c>
      <c r="F529" s="53">
        <v>5</v>
      </c>
      <c r="G529" s="13">
        <v>14.85</v>
      </c>
      <c r="H529" s="322">
        <f t="shared" si="32"/>
        <v>74.25</v>
      </c>
    </row>
    <row r="530" spans="1:19" ht="23.25" x14ac:dyDescent="0.25">
      <c r="A530" s="141" t="s">
        <v>1145</v>
      </c>
      <c r="B530" s="15" t="s">
        <v>981</v>
      </c>
      <c r="C530" s="15">
        <v>92318</v>
      </c>
      <c r="D530" s="264" t="s">
        <v>422</v>
      </c>
      <c r="E530" s="11" t="s">
        <v>12</v>
      </c>
      <c r="F530" s="53">
        <v>12</v>
      </c>
      <c r="G530" s="13">
        <v>31.76</v>
      </c>
      <c r="H530" s="322">
        <f t="shared" si="32"/>
        <v>381.12</v>
      </c>
    </row>
    <row r="531" spans="1:19" ht="23.25" x14ac:dyDescent="0.25">
      <c r="A531" s="141" t="s">
        <v>1146</v>
      </c>
      <c r="B531" s="15" t="s">
        <v>1155</v>
      </c>
      <c r="C531" s="15">
        <v>8696</v>
      </c>
      <c r="D531" s="264" t="s">
        <v>1156</v>
      </c>
      <c r="E531" s="11" t="s">
        <v>12</v>
      </c>
      <c r="F531" s="53">
        <v>2</v>
      </c>
      <c r="G531" s="13">
        <v>2011.66</v>
      </c>
      <c r="H531" s="322">
        <f t="shared" si="32"/>
        <v>4023.32</v>
      </c>
    </row>
    <row r="532" spans="1:19" ht="23.25" x14ac:dyDescent="0.25">
      <c r="A532" s="141" t="s">
        <v>1146</v>
      </c>
      <c r="B532" s="15" t="s">
        <v>1155</v>
      </c>
      <c r="C532" s="15">
        <v>8620</v>
      </c>
      <c r="D532" s="264" t="s">
        <v>1157</v>
      </c>
      <c r="E532" s="11" t="s">
        <v>12</v>
      </c>
      <c r="F532" s="53">
        <v>2</v>
      </c>
      <c r="G532" s="13">
        <v>2265.11</v>
      </c>
      <c r="H532" s="322">
        <f>G532*F532</f>
        <v>4530.22</v>
      </c>
    </row>
    <row r="533" spans="1:19" ht="23.25" x14ac:dyDescent="0.25">
      <c r="A533" s="141" t="s">
        <v>1146</v>
      </c>
      <c r="B533" s="15" t="s">
        <v>1155</v>
      </c>
      <c r="C533" s="15">
        <v>8252</v>
      </c>
      <c r="D533" s="264" t="s">
        <v>1158</v>
      </c>
      <c r="E533" s="11" t="s">
        <v>12</v>
      </c>
      <c r="F533" s="53">
        <v>2</v>
      </c>
      <c r="G533" s="13">
        <v>2904.87</v>
      </c>
      <c r="H533" s="322">
        <f>G533*F533</f>
        <v>5809.74</v>
      </c>
    </row>
    <row r="534" spans="1:19" ht="23.25" x14ac:dyDescent="0.25">
      <c r="A534" s="141" t="s">
        <v>1146</v>
      </c>
      <c r="B534" s="15" t="s">
        <v>982</v>
      </c>
      <c r="C534" s="15" t="s">
        <v>1109</v>
      </c>
      <c r="D534" s="264" t="s">
        <v>1108</v>
      </c>
      <c r="E534" s="11" t="s">
        <v>12</v>
      </c>
      <c r="F534" s="53">
        <v>3</v>
      </c>
      <c r="G534" s="13">
        <v>85.33</v>
      </c>
      <c r="H534" s="322">
        <f>G534*F534</f>
        <v>255.99</v>
      </c>
    </row>
    <row r="535" spans="1:19" ht="23.25" x14ac:dyDescent="0.25">
      <c r="A535" s="141" t="s">
        <v>1146</v>
      </c>
      <c r="B535" s="15" t="s">
        <v>1155</v>
      </c>
      <c r="C535" s="15">
        <v>13100</v>
      </c>
      <c r="D535" s="264" t="s">
        <v>1164</v>
      </c>
      <c r="E535" s="11" t="s">
        <v>12</v>
      </c>
      <c r="F535" s="53">
        <v>2</v>
      </c>
      <c r="G535" s="13">
        <v>2006.24</v>
      </c>
      <c r="H535" s="322">
        <f>G535*F535</f>
        <v>4012.48</v>
      </c>
    </row>
    <row r="536" spans="1:19" x14ac:dyDescent="0.25">
      <c r="A536" s="141" t="s">
        <v>1146</v>
      </c>
      <c r="B536" s="15" t="s">
        <v>1155</v>
      </c>
      <c r="C536" s="15">
        <v>6348</v>
      </c>
      <c r="D536" s="264" t="s">
        <v>1159</v>
      </c>
      <c r="E536" s="11" t="s">
        <v>12</v>
      </c>
      <c r="F536" s="53">
        <v>5</v>
      </c>
      <c r="G536" s="13">
        <v>540.89</v>
      </c>
      <c r="H536" s="322">
        <f>G536*F536</f>
        <v>2704.45</v>
      </c>
    </row>
    <row r="537" spans="1:19" ht="23.25" x14ac:dyDescent="0.25">
      <c r="A537" s="141" t="s">
        <v>1147</v>
      </c>
      <c r="B537" s="15" t="s">
        <v>1155</v>
      </c>
      <c r="C537" s="15">
        <v>8511</v>
      </c>
      <c r="D537" s="335" t="s">
        <v>1160</v>
      </c>
      <c r="E537" s="11" t="s">
        <v>12</v>
      </c>
      <c r="F537" s="53">
        <v>3</v>
      </c>
      <c r="G537" s="13">
        <v>522.97</v>
      </c>
      <c r="H537" s="325">
        <f t="shared" si="32"/>
        <v>1568.91</v>
      </c>
      <c r="I537" s="194"/>
      <c r="J537" s="247"/>
      <c r="K537" s="247"/>
      <c r="L537" s="247"/>
      <c r="M537" s="247"/>
      <c r="N537" s="247"/>
      <c r="O537" s="247"/>
      <c r="P537" s="247"/>
      <c r="Q537" s="247"/>
      <c r="R537" s="248"/>
    </row>
    <row r="538" spans="1:19" x14ac:dyDescent="0.25">
      <c r="A538" s="141" t="s">
        <v>1148</v>
      </c>
      <c r="B538" s="15" t="s">
        <v>1155</v>
      </c>
      <c r="C538" s="1" t="s">
        <v>1161</v>
      </c>
      <c r="D538" s="264" t="s">
        <v>1163</v>
      </c>
      <c r="E538" s="11" t="s">
        <v>12</v>
      </c>
      <c r="F538" s="53">
        <v>6</v>
      </c>
      <c r="G538" s="13">
        <v>4348.8999999999996</v>
      </c>
      <c r="H538" s="322">
        <f t="shared" si="32"/>
        <v>26093.399999999998</v>
      </c>
    </row>
    <row r="539" spans="1:19" x14ac:dyDescent="0.25">
      <c r="A539" s="141" t="s">
        <v>1149</v>
      </c>
      <c r="B539" s="15" t="s">
        <v>1155</v>
      </c>
      <c r="C539" s="15">
        <v>9428</v>
      </c>
      <c r="D539" s="264" t="s">
        <v>1162</v>
      </c>
      <c r="E539" s="11" t="s">
        <v>12</v>
      </c>
      <c r="F539" s="53">
        <v>6</v>
      </c>
      <c r="G539" s="13">
        <v>4156.93</v>
      </c>
      <c r="H539" s="322">
        <f t="shared" si="32"/>
        <v>24941.58</v>
      </c>
    </row>
    <row r="540" spans="1:19" x14ac:dyDescent="0.25">
      <c r="A540" s="162" t="s">
        <v>1150</v>
      </c>
      <c r="B540" s="163" t="s">
        <v>1155</v>
      </c>
      <c r="C540" s="163">
        <v>9437</v>
      </c>
      <c r="D540" s="164" t="s">
        <v>1165</v>
      </c>
      <c r="E540" s="165" t="s">
        <v>12</v>
      </c>
      <c r="F540" s="289">
        <v>6</v>
      </c>
      <c r="G540" s="166">
        <v>4827.7</v>
      </c>
      <c r="H540" s="451">
        <f t="shared" si="32"/>
        <v>28966.199999999997</v>
      </c>
    </row>
    <row r="541" spans="1:19" x14ac:dyDescent="0.25">
      <c r="A541" s="342" t="s">
        <v>928</v>
      </c>
      <c r="B541" s="343"/>
      <c r="C541" s="343"/>
      <c r="D541" s="343"/>
      <c r="E541" s="343"/>
      <c r="F541" s="343"/>
      <c r="G541" s="343"/>
      <c r="H541" s="445">
        <f>SUM(H525:H540)</f>
        <v>124722.35129999999</v>
      </c>
      <c r="I541" s="195"/>
      <c r="J541" s="195"/>
      <c r="K541" s="195"/>
      <c r="L541" s="195"/>
      <c r="M541" s="195"/>
    </row>
    <row r="542" spans="1:19" x14ac:dyDescent="0.25">
      <c r="A542" s="369" t="s">
        <v>1154</v>
      </c>
      <c r="B542" s="370"/>
      <c r="C542" s="370"/>
      <c r="D542" s="370"/>
      <c r="E542" s="370"/>
      <c r="F542" s="370"/>
      <c r="G542" s="370"/>
      <c r="H542" s="452">
        <f>SUM(H541:H541)</f>
        <v>124722.35129999999</v>
      </c>
      <c r="S542" s="249"/>
    </row>
    <row r="543" spans="1:19" x14ac:dyDescent="0.25">
      <c r="A543" s="318" t="s">
        <v>683</v>
      </c>
      <c r="B543" s="304"/>
      <c r="C543" s="311"/>
      <c r="D543" s="113" t="s">
        <v>18</v>
      </c>
      <c r="E543" s="279"/>
      <c r="F543" s="290"/>
      <c r="G543" s="279"/>
      <c r="H543" s="453"/>
    </row>
    <row r="544" spans="1:19" x14ac:dyDescent="0.25">
      <c r="A544" s="149" t="s">
        <v>1129</v>
      </c>
      <c r="B544" s="15" t="s">
        <v>981</v>
      </c>
      <c r="C544" s="15">
        <v>98504</v>
      </c>
      <c r="D544" s="110" t="s">
        <v>154</v>
      </c>
      <c r="E544" s="89" t="s">
        <v>6</v>
      </c>
      <c r="F544" s="134">
        <v>82.92</v>
      </c>
      <c r="G544" s="111">
        <v>16.18</v>
      </c>
      <c r="H544" s="334">
        <f>G544*F544</f>
        <v>1341.6456000000001</v>
      </c>
    </row>
    <row r="545" spans="1:49" ht="22.5" x14ac:dyDescent="0.25">
      <c r="A545" s="149" t="s">
        <v>1139</v>
      </c>
      <c r="B545" s="15" t="s">
        <v>981</v>
      </c>
      <c r="C545" s="1">
        <v>98510</v>
      </c>
      <c r="D545" s="48" t="s">
        <v>528</v>
      </c>
      <c r="E545" s="11" t="s">
        <v>12</v>
      </c>
      <c r="F545" s="53">
        <v>15</v>
      </c>
      <c r="G545" s="13">
        <v>75.819999999999993</v>
      </c>
      <c r="H545" s="329">
        <f>G545*F545</f>
        <v>1137.3</v>
      </c>
      <c r="I545" s="193"/>
      <c r="J545" s="250"/>
      <c r="K545" s="231"/>
      <c r="L545" s="231"/>
      <c r="M545" s="231"/>
      <c r="N545" s="231"/>
      <c r="O545" s="231"/>
      <c r="P545" s="231"/>
      <c r="Q545" s="231"/>
    </row>
    <row r="546" spans="1:49" x14ac:dyDescent="0.25">
      <c r="A546" s="342" t="s">
        <v>928</v>
      </c>
      <c r="B546" s="343"/>
      <c r="C546" s="343"/>
      <c r="D546" s="343"/>
      <c r="E546" s="343"/>
      <c r="F546" s="343"/>
      <c r="G546" s="343"/>
      <c r="H546" s="438">
        <f>H544+H545</f>
        <v>2478.9456</v>
      </c>
      <c r="J546" s="251"/>
      <c r="S546" s="252"/>
    </row>
    <row r="547" spans="1:49" x14ac:dyDescent="0.25">
      <c r="A547" s="359" t="s">
        <v>1151</v>
      </c>
      <c r="B547" s="360"/>
      <c r="C547" s="360"/>
      <c r="D547" s="361"/>
      <c r="E547" s="361"/>
      <c r="F547" s="361"/>
      <c r="G547" s="361"/>
      <c r="H547" s="437">
        <f>H546</f>
        <v>2478.9456</v>
      </c>
      <c r="S547" s="222"/>
    </row>
    <row r="548" spans="1:49" s="135" customFormat="1" x14ac:dyDescent="0.25">
      <c r="A548" s="149" t="s">
        <v>1140</v>
      </c>
      <c r="B548" s="1"/>
      <c r="C548" s="87"/>
      <c r="D548" s="265" t="s">
        <v>155</v>
      </c>
      <c r="E548" s="280"/>
      <c r="F548" s="161"/>
      <c r="G548" s="112"/>
      <c r="H548" s="440"/>
      <c r="I548" s="190"/>
      <c r="J548" s="184"/>
      <c r="K548" s="184"/>
      <c r="L548" s="184"/>
      <c r="M548" s="184"/>
      <c r="N548" s="184"/>
      <c r="O548" s="184"/>
      <c r="P548" s="184"/>
      <c r="Q548" s="184"/>
      <c r="R548" s="173"/>
      <c r="S548" s="209"/>
      <c r="T548" s="247"/>
      <c r="U548" s="247"/>
      <c r="V548" s="247"/>
      <c r="W548" s="247"/>
      <c r="X548" s="247"/>
      <c r="Y548" s="247"/>
      <c r="Z548" s="247"/>
      <c r="AA548" s="247"/>
      <c r="AB548" s="247"/>
      <c r="AC548" s="247"/>
      <c r="AD548" s="247"/>
      <c r="AE548" s="247"/>
      <c r="AF548" s="247"/>
      <c r="AG548" s="247"/>
      <c r="AH548" s="247"/>
      <c r="AI548" s="247"/>
      <c r="AJ548" s="247"/>
      <c r="AK548" s="247"/>
      <c r="AL548" s="247"/>
      <c r="AM548" s="247"/>
      <c r="AN548" s="247"/>
      <c r="AO548" s="247"/>
      <c r="AP548" s="247"/>
      <c r="AQ548" s="247"/>
      <c r="AR548" s="247"/>
      <c r="AS548" s="247"/>
      <c r="AT548" s="247"/>
      <c r="AU548" s="247"/>
      <c r="AV548" s="247"/>
      <c r="AW548" s="247"/>
    </row>
    <row r="549" spans="1:49" ht="22.5" x14ac:dyDescent="0.25">
      <c r="A549" s="149" t="s">
        <v>1141</v>
      </c>
      <c r="B549" s="1" t="s">
        <v>982</v>
      </c>
      <c r="C549" s="1" t="s">
        <v>1130</v>
      </c>
      <c r="D549" s="133" t="s">
        <v>1131</v>
      </c>
      <c r="E549" s="89" t="s">
        <v>6</v>
      </c>
      <c r="F549" s="134">
        <v>2591.7600000000002</v>
      </c>
      <c r="G549" s="111">
        <v>14.25</v>
      </c>
      <c r="H549" s="334">
        <f>G549*F549</f>
        <v>36932.58</v>
      </c>
      <c r="I549" s="193"/>
      <c r="J549" s="231"/>
      <c r="K549" s="231"/>
      <c r="L549" s="231"/>
      <c r="M549" s="231"/>
      <c r="N549" s="231"/>
      <c r="O549" s="231"/>
      <c r="P549" s="231"/>
      <c r="Q549" s="231"/>
    </row>
    <row r="550" spans="1:49" x14ac:dyDescent="0.25">
      <c r="A550" s="342" t="s">
        <v>929</v>
      </c>
      <c r="B550" s="343"/>
      <c r="C550" s="343"/>
      <c r="D550" s="343"/>
      <c r="E550" s="343"/>
      <c r="F550" s="343"/>
      <c r="G550" s="343"/>
      <c r="H550" s="438">
        <f>H549</f>
        <v>36932.58</v>
      </c>
      <c r="J550" s="251"/>
      <c r="S550" s="221"/>
    </row>
    <row r="551" spans="1:49" x14ac:dyDescent="0.25">
      <c r="A551" s="359" t="s">
        <v>1152</v>
      </c>
      <c r="B551" s="360"/>
      <c r="C551" s="360"/>
      <c r="D551" s="360"/>
      <c r="E551" s="360"/>
      <c r="F551" s="360"/>
      <c r="G551" s="360"/>
      <c r="H551" s="442">
        <f>H550</f>
        <v>36932.58</v>
      </c>
      <c r="J551" s="251"/>
      <c r="S551" s="222"/>
    </row>
    <row r="552" spans="1:49" x14ac:dyDescent="0.25">
      <c r="A552" s="359" t="s">
        <v>949</v>
      </c>
      <c r="B552" s="360"/>
      <c r="C552" s="360"/>
      <c r="D552" s="360"/>
      <c r="E552" s="360"/>
      <c r="F552" s="360"/>
      <c r="G552" s="360"/>
      <c r="H552" s="442">
        <f>H16+H22+H28+H66+H106+H114+H126+H152+H157+H165+H192+H199+H206+H228+H382+H464+H481+H500+H523+H542+H547+H551</f>
        <v>11213817.338699998</v>
      </c>
      <c r="R552" s="389"/>
      <c r="S552" s="389"/>
    </row>
    <row r="553" spans="1:49" x14ac:dyDescent="0.25">
      <c r="A553" s="371" t="s">
        <v>156</v>
      </c>
      <c r="B553" s="372"/>
      <c r="C553" s="372"/>
      <c r="D553" s="372"/>
      <c r="E553" s="372"/>
      <c r="F553" s="372"/>
      <c r="G553" s="379">
        <f ca="1">H552*BDI!S33</f>
        <v>2954840.8687474495</v>
      </c>
      <c r="H553" s="380"/>
      <c r="R553" s="338"/>
      <c r="S553" s="338"/>
    </row>
    <row r="554" spans="1:49" x14ac:dyDescent="0.25">
      <c r="A554" s="371"/>
      <c r="B554" s="372"/>
      <c r="C554" s="372"/>
      <c r="D554" s="372"/>
      <c r="E554" s="372"/>
      <c r="F554" s="372"/>
      <c r="G554" s="381"/>
      <c r="H554" s="382"/>
      <c r="I554" s="196"/>
      <c r="R554" s="338"/>
      <c r="S554" s="338"/>
    </row>
    <row r="555" spans="1:49" s="132" customFormat="1" ht="30" customHeight="1" x14ac:dyDescent="0.25">
      <c r="A555" s="371" t="s">
        <v>22</v>
      </c>
      <c r="B555" s="372"/>
      <c r="C555" s="372"/>
      <c r="D555" s="372"/>
      <c r="E555" s="372"/>
      <c r="F555" s="372"/>
      <c r="G555" s="375">
        <f ca="1">H552+G553</f>
        <v>14168658.207447447</v>
      </c>
      <c r="H555" s="376"/>
      <c r="I555" s="190"/>
      <c r="J555" s="184"/>
      <c r="K555" s="184"/>
      <c r="L555" s="184"/>
      <c r="M555" s="184"/>
      <c r="N555" s="184"/>
      <c r="O555" s="184"/>
      <c r="P555" s="184"/>
      <c r="Q555" s="184"/>
      <c r="R555" s="337"/>
      <c r="S555" s="337"/>
      <c r="T555" s="231"/>
      <c r="U555" s="231"/>
      <c r="V555" s="231"/>
      <c r="W555" s="231"/>
      <c r="X555" s="231"/>
      <c r="Y555" s="231"/>
      <c r="Z555" s="231"/>
      <c r="AA555" s="231"/>
      <c r="AB555" s="231"/>
      <c r="AC555" s="231"/>
      <c r="AD555" s="231"/>
      <c r="AE555" s="231"/>
      <c r="AF555" s="231"/>
      <c r="AG555" s="231"/>
      <c r="AH555" s="231"/>
      <c r="AI555" s="231"/>
      <c r="AJ555" s="231"/>
      <c r="AK555" s="231"/>
      <c r="AL555" s="231"/>
      <c r="AM555" s="231"/>
      <c r="AN555" s="231"/>
      <c r="AO555" s="231"/>
      <c r="AP555" s="231"/>
      <c r="AQ555" s="231"/>
      <c r="AR555" s="231"/>
      <c r="AS555" s="231"/>
      <c r="AT555" s="231"/>
      <c r="AU555" s="231"/>
      <c r="AV555" s="231"/>
      <c r="AW555" s="231"/>
    </row>
    <row r="556" spans="1:49" ht="14.25" customHeight="1" thickBot="1" x14ac:dyDescent="0.3">
      <c r="A556" s="373"/>
      <c r="B556" s="374"/>
      <c r="C556" s="374"/>
      <c r="D556" s="374"/>
      <c r="E556" s="374"/>
      <c r="F556" s="374"/>
      <c r="G556" s="377"/>
      <c r="H556" s="378"/>
      <c r="R556" s="337"/>
      <c r="S556" s="337"/>
    </row>
    <row r="558" spans="1:49" x14ac:dyDescent="0.25">
      <c r="A558" s="291"/>
      <c r="B558" s="291"/>
      <c r="C558" s="312"/>
      <c r="D558" s="153"/>
      <c r="E558" s="281"/>
      <c r="F558" s="291"/>
    </row>
    <row r="559" spans="1:49" s="132" customFormat="1" ht="23.25" customHeight="1" x14ac:dyDescent="0.25">
      <c r="A559" s="268"/>
      <c r="B559" s="268"/>
      <c r="C559" s="268"/>
      <c r="D559" s="138"/>
      <c r="E559" s="268"/>
      <c r="F559" s="268"/>
      <c r="I559" s="190"/>
      <c r="J559" s="184"/>
      <c r="K559" s="184"/>
      <c r="L559" s="184"/>
      <c r="M559" s="184"/>
      <c r="N559" s="184"/>
      <c r="O559" s="184"/>
      <c r="P559" s="184"/>
      <c r="Q559" s="184"/>
      <c r="R559" s="173"/>
      <c r="S559" s="209"/>
      <c r="T559" s="231"/>
      <c r="U559" s="231"/>
      <c r="V559" s="231"/>
      <c r="W559" s="231"/>
      <c r="X559" s="231"/>
      <c r="Y559" s="231"/>
      <c r="Z559" s="231"/>
      <c r="AA559" s="231"/>
      <c r="AB559" s="231"/>
      <c r="AC559" s="231"/>
      <c r="AD559" s="231"/>
      <c r="AE559" s="231"/>
      <c r="AF559" s="231"/>
      <c r="AG559" s="231"/>
      <c r="AH559" s="231"/>
      <c r="AI559" s="231"/>
      <c r="AJ559" s="231"/>
      <c r="AK559" s="231"/>
      <c r="AL559" s="231"/>
      <c r="AM559" s="231"/>
      <c r="AN559" s="231"/>
      <c r="AO559" s="231"/>
      <c r="AP559" s="231"/>
      <c r="AQ559" s="231"/>
      <c r="AR559" s="231"/>
      <c r="AS559" s="231"/>
      <c r="AT559" s="231"/>
      <c r="AU559" s="231"/>
      <c r="AV559" s="231"/>
      <c r="AW559" s="231"/>
    </row>
    <row r="560" spans="1:49" ht="14.25" customHeight="1" x14ac:dyDescent="0.25">
      <c r="A560" s="268"/>
      <c r="B560" s="268"/>
      <c r="C560" s="268"/>
      <c r="D560" s="138"/>
      <c r="E560" s="268"/>
      <c r="F560" s="268"/>
    </row>
    <row r="562" spans="28:28" x14ac:dyDescent="0.25">
      <c r="AB562" s="234"/>
    </row>
    <row r="563" spans="28:28" ht="15" customHeight="1" x14ac:dyDescent="0.25"/>
    <row r="564" spans="28:28" ht="15" customHeight="1" x14ac:dyDescent="0.25"/>
    <row r="565" spans="28:28" ht="15" customHeight="1" x14ac:dyDescent="0.25"/>
    <row r="566" spans="28:28" ht="15" customHeight="1" x14ac:dyDescent="0.25"/>
  </sheetData>
  <mergeCells count="88">
    <mergeCell ref="R552:S552"/>
    <mergeCell ref="D167:H167"/>
    <mergeCell ref="A106:G106"/>
    <mergeCell ref="A126:G126"/>
    <mergeCell ref="A152:G152"/>
    <mergeCell ref="A157:G157"/>
    <mergeCell ref="D143:H143"/>
    <mergeCell ref="A151:G151"/>
    <mergeCell ref="A156:G156"/>
    <mergeCell ref="D153:H153"/>
    <mergeCell ref="D166:H166"/>
    <mergeCell ref="A164:G164"/>
    <mergeCell ref="A110:G110"/>
    <mergeCell ref="A114:G114"/>
    <mergeCell ref="A199:G199"/>
    <mergeCell ref="D186:H186"/>
    <mergeCell ref="I35:O35"/>
    <mergeCell ref="A523:G523"/>
    <mergeCell ref="A184:G184"/>
    <mergeCell ref="D158:H158"/>
    <mergeCell ref="A176:G176"/>
    <mergeCell ref="A480:G480"/>
    <mergeCell ref="D185:H185"/>
    <mergeCell ref="A172:G172"/>
    <mergeCell ref="D193:H193"/>
    <mergeCell ref="A338:G338"/>
    <mergeCell ref="A381:G381"/>
    <mergeCell ref="A382:G382"/>
    <mergeCell ref="A205:G205"/>
    <mergeCell ref="D207:H207"/>
    <mergeCell ref="A227:G227"/>
    <mergeCell ref="A192:G192"/>
    <mergeCell ref="A191:G191"/>
    <mergeCell ref="A321:G321"/>
    <mergeCell ref="A198:G198"/>
    <mergeCell ref="A206:G206"/>
    <mergeCell ref="A228:G228"/>
    <mergeCell ref="D200:H200"/>
    <mergeCell ref="A212:G212"/>
    <mergeCell ref="A216:G216"/>
    <mergeCell ref="A499:G499"/>
    <mergeCell ref="A500:G500"/>
    <mergeCell ref="A542:G542"/>
    <mergeCell ref="A555:F556"/>
    <mergeCell ref="G555:H556"/>
    <mergeCell ref="A553:F554"/>
    <mergeCell ref="G553:H554"/>
    <mergeCell ref="A552:G552"/>
    <mergeCell ref="A541:G541"/>
    <mergeCell ref="A165:G165"/>
    <mergeCell ref="D127:H127"/>
    <mergeCell ref="A551:G551"/>
    <mergeCell ref="D501:H501"/>
    <mergeCell ref="A546:G546"/>
    <mergeCell ref="A522:G522"/>
    <mergeCell ref="A357:G357"/>
    <mergeCell ref="A366:G366"/>
    <mergeCell ref="A463:G463"/>
    <mergeCell ref="A464:G464"/>
    <mergeCell ref="A550:G550"/>
    <mergeCell ref="A547:G547"/>
    <mergeCell ref="A277:G277"/>
    <mergeCell ref="A220:G220"/>
    <mergeCell ref="A223:G223"/>
    <mergeCell ref="A481:G481"/>
    <mergeCell ref="A8:G8"/>
    <mergeCell ref="A16:G16"/>
    <mergeCell ref="A22:G22"/>
    <mergeCell ref="A66:G66"/>
    <mergeCell ref="A28:G28"/>
    <mergeCell ref="A27:G27"/>
    <mergeCell ref="A15:G15"/>
    <mergeCell ref="R555:S556"/>
    <mergeCell ref="R553:S554"/>
    <mergeCell ref="A1:H1"/>
    <mergeCell ref="A113:G113"/>
    <mergeCell ref="A141:G141"/>
    <mergeCell ref="A21:G21"/>
    <mergeCell ref="A65:G65"/>
    <mergeCell ref="A105:G105"/>
    <mergeCell ref="A48:G48"/>
    <mergeCell ref="A35:G35"/>
    <mergeCell ref="A77:G77"/>
    <mergeCell ref="A88:G88"/>
    <mergeCell ref="D115:H115"/>
    <mergeCell ref="D116:H116"/>
    <mergeCell ref="A125:G125"/>
    <mergeCell ref="A2:H2"/>
  </mergeCells>
  <phoneticPr fontId="26" type="noConversion"/>
  <conditionalFormatting sqref="F10:G12 F154:G154 F173:G173 F14:G14 F221:G222 F213:G213 F217:G218 F105:G105 F141:G143 F198:G198 F224:G224 F205:G205 F338:G339 F382:G385 F166:G167 F193:G193 F200:G201 F207:G209 F229:G230 F543:G543 F501:G501 F17:G25 F78:G85 F115:G116 F121:G125 F118:G118 F127:G129 G140 F169:G169 F184:G191 F176:G176 F227:G227 F250:G253 F265:G268 F278:G278 F322:G333 F401:G405 F493:G494 F29:G34 F36:G47 F49:G61 F67:G76 F158:G164 F455:G463 F517:G521 F482:G491 F370:G380 F527:G540 F248:F249 F63:G65 F87:G87 F89:G91 F94:G102 F92:F93">
    <cfRule type="cellIs" dxfId="203" priority="340" stopIfTrue="1" operator="equal">
      <formula>0</formula>
    </cfRule>
  </conditionalFormatting>
  <conditionalFormatting sqref="F9:G9">
    <cfRule type="cellIs" dxfId="202" priority="339" stopIfTrue="1" operator="equal">
      <formula>0</formula>
    </cfRule>
  </conditionalFormatting>
  <conditionalFormatting sqref="F15:G15">
    <cfRule type="cellIs" dxfId="201" priority="337" stopIfTrue="1" operator="equal">
      <formula>0</formula>
    </cfRule>
  </conditionalFormatting>
  <conditionalFormatting sqref="F140">
    <cfRule type="cellIs" dxfId="200" priority="330" stopIfTrue="1" operator="equal">
      <formula>0</formula>
    </cfRule>
  </conditionalFormatting>
  <conditionalFormatting sqref="F151:G151">
    <cfRule type="cellIs" dxfId="199" priority="329" stopIfTrue="1" operator="equal">
      <formula>0</formula>
    </cfRule>
  </conditionalFormatting>
  <conditionalFormatting sqref="F156:G156">
    <cfRule type="cellIs" dxfId="198" priority="327" stopIfTrue="1" operator="equal">
      <formula>0</formula>
    </cfRule>
  </conditionalFormatting>
  <conditionalFormatting sqref="F13:G13">
    <cfRule type="cellIs" dxfId="197" priority="313" stopIfTrue="1" operator="equal">
      <formula>0</formula>
    </cfRule>
  </conditionalFormatting>
  <conditionalFormatting sqref="F195:G195">
    <cfRule type="cellIs" dxfId="196" priority="305" stopIfTrue="1" operator="equal">
      <formula>0</formula>
    </cfRule>
  </conditionalFormatting>
  <conditionalFormatting sqref="F203:G204">
    <cfRule type="cellIs" dxfId="195" priority="302" stopIfTrue="1" operator="equal">
      <formula>0</formula>
    </cfRule>
  </conditionalFormatting>
  <conditionalFormatting sqref="F254:G255">
    <cfRule type="cellIs" dxfId="194" priority="290" stopIfTrue="1" operator="equal">
      <formula>0</formula>
    </cfRule>
  </conditionalFormatting>
  <conditionalFormatting sqref="F262:G262">
    <cfRule type="cellIs" dxfId="193" priority="287" stopIfTrue="1" operator="equal">
      <formula>0</formula>
    </cfRule>
  </conditionalFormatting>
  <conditionalFormatting sqref="F263:G264">
    <cfRule type="cellIs" dxfId="192" priority="286" stopIfTrue="1" operator="equal">
      <formula>0</formula>
    </cfRule>
  </conditionalFormatting>
  <conditionalFormatting sqref="F269:G274">
    <cfRule type="cellIs" dxfId="191" priority="282" stopIfTrue="1" operator="equal">
      <formula>0</formula>
    </cfRule>
  </conditionalFormatting>
  <conditionalFormatting sqref="F386:G388">
    <cfRule type="cellIs" dxfId="190" priority="267" stopIfTrue="1" operator="equal">
      <formula>0</formula>
    </cfRule>
  </conditionalFormatting>
  <conditionalFormatting sqref="F390:G390">
    <cfRule type="cellIs" dxfId="189" priority="264" stopIfTrue="1" operator="equal">
      <formula>0</formula>
    </cfRule>
  </conditionalFormatting>
  <conditionalFormatting sqref="F391:G393">
    <cfRule type="cellIs" dxfId="188" priority="263" stopIfTrue="1" operator="equal">
      <formula>0</formula>
    </cfRule>
  </conditionalFormatting>
  <conditionalFormatting sqref="F394:G394">
    <cfRule type="cellIs" dxfId="187" priority="262" stopIfTrue="1" operator="equal">
      <formula>0</formula>
    </cfRule>
  </conditionalFormatting>
  <conditionalFormatting sqref="F395:G395">
    <cfRule type="cellIs" dxfId="186" priority="261" stopIfTrue="1" operator="equal">
      <formula>0</formula>
    </cfRule>
  </conditionalFormatting>
  <conditionalFormatting sqref="F396:G396">
    <cfRule type="cellIs" dxfId="185" priority="260" stopIfTrue="1" operator="equal">
      <formula>0</formula>
    </cfRule>
  </conditionalFormatting>
  <conditionalFormatting sqref="F397:G397">
    <cfRule type="cellIs" dxfId="184" priority="259" stopIfTrue="1" operator="equal">
      <formula>0</formula>
    </cfRule>
  </conditionalFormatting>
  <conditionalFormatting sqref="F398:G398">
    <cfRule type="cellIs" dxfId="183" priority="258" stopIfTrue="1" operator="equal">
      <formula>0</formula>
    </cfRule>
  </conditionalFormatting>
  <conditionalFormatting sqref="F399:G400">
    <cfRule type="cellIs" dxfId="182" priority="257" stopIfTrue="1" operator="equal">
      <formula>0</formula>
    </cfRule>
  </conditionalFormatting>
  <conditionalFormatting sqref="F406:G406">
    <cfRule type="cellIs" dxfId="181" priority="255" stopIfTrue="1" operator="equal">
      <formula>0</formula>
    </cfRule>
  </conditionalFormatting>
  <conditionalFormatting sqref="F407:G410">
    <cfRule type="cellIs" dxfId="180" priority="254" stopIfTrue="1" operator="equal">
      <formula>0</formula>
    </cfRule>
  </conditionalFormatting>
  <conditionalFormatting sqref="F411:G411">
    <cfRule type="cellIs" dxfId="179" priority="251" stopIfTrue="1" operator="equal">
      <formula>0</formula>
    </cfRule>
  </conditionalFormatting>
  <conditionalFormatting sqref="F412:G412">
    <cfRule type="cellIs" dxfId="178" priority="250" stopIfTrue="1" operator="equal">
      <formula>0</formula>
    </cfRule>
  </conditionalFormatting>
  <conditionalFormatting sqref="F431:G448">
    <cfRule type="cellIs" dxfId="177" priority="236" stopIfTrue="1" operator="equal">
      <formula>0</formula>
    </cfRule>
  </conditionalFormatting>
  <conditionalFormatting sqref="F413:G414">
    <cfRule type="cellIs" dxfId="176" priority="249" stopIfTrue="1" operator="equal">
      <formula>0</formula>
    </cfRule>
  </conditionalFormatting>
  <conditionalFormatting sqref="F416:G416">
    <cfRule type="cellIs" dxfId="175" priority="247" stopIfTrue="1" operator="equal">
      <formula>0</formula>
    </cfRule>
  </conditionalFormatting>
  <conditionalFormatting sqref="F415:G415">
    <cfRule type="cellIs" dxfId="174" priority="246" stopIfTrue="1" operator="equal">
      <formula>0</formula>
    </cfRule>
  </conditionalFormatting>
  <conditionalFormatting sqref="F417:G417">
    <cfRule type="cellIs" dxfId="173" priority="245" stopIfTrue="1" operator="equal">
      <formula>0</formula>
    </cfRule>
  </conditionalFormatting>
  <conditionalFormatting sqref="F429:G430">
    <cfRule type="cellIs" dxfId="172" priority="240" stopIfTrue="1" operator="equal">
      <formula>0</formula>
    </cfRule>
  </conditionalFormatting>
  <conditionalFormatting sqref="F48:G48">
    <cfRule type="cellIs" dxfId="171" priority="230" stopIfTrue="1" operator="equal">
      <formula>0</formula>
    </cfRule>
  </conditionalFormatting>
  <conditionalFormatting sqref="F88:G88">
    <cfRule type="cellIs" dxfId="170" priority="227" stopIfTrue="1" operator="equal">
      <formula>0</formula>
    </cfRule>
  </conditionalFormatting>
  <conditionalFormatting sqref="F172:G172">
    <cfRule type="cellIs" dxfId="169" priority="223" stopIfTrue="1" operator="equal">
      <formula>0</formula>
    </cfRule>
  </conditionalFormatting>
  <conditionalFormatting sqref="F220:G220">
    <cfRule type="cellIs" dxfId="168" priority="221" stopIfTrue="1" operator="equal">
      <formula>0</formula>
    </cfRule>
  </conditionalFormatting>
  <conditionalFormatting sqref="F223:G223">
    <cfRule type="cellIs" dxfId="167" priority="220" stopIfTrue="1" operator="equal">
      <formula>0</formula>
    </cfRule>
  </conditionalFormatting>
  <conditionalFormatting sqref="F212:G212">
    <cfRule type="cellIs" dxfId="166" priority="217" stopIfTrue="1" operator="equal">
      <formula>0</formula>
    </cfRule>
  </conditionalFormatting>
  <conditionalFormatting sqref="F216:G216">
    <cfRule type="cellIs" dxfId="165" priority="216" stopIfTrue="1" operator="equal">
      <formula>0</formula>
    </cfRule>
  </conditionalFormatting>
  <conditionalFormatting sqref="F275:G276">
    <cfRule type="cellIs" dxfId="164" priority="213" stopIfTrue="1" operator="equal">
      <formula>0</formula>
    </cfRule>
  </conditionalFormatting>
  <conditionalFormatting sqref="F321:G321">
    <cfRule type="cellIs" dxfId="163" priority="211" stopIfTrue="1" operator="equal">
      <formula>0</formula>
    </cfRule>
  </conditionalFormatting>
  <conditionalFormatting sqref="F103:G104">
    <cfRule type="cellIs" dxfId="162" priority="210" stopIfTrue="1" operator="equal">
      <formula>0</formula>
    </cfRule>
  </conditionalFormatting>
  <conditionalFormatting sqref="F277:G277">
    <cfRule type="cellIs" dxfId="161" priority="209" stopIfTrue="1" operator="equal">
      <formula>0</formula>
    </cfRule>
  </conditionalFormatting>
  <conditionalFormatting sqref="F340:G340">
    <cfRule type="cellIs" dxfId="160" priority="208" stopIfTrue="1" operator="equal">
      <formula>0</formula>
    </cfRule>
  </conditionalFormatting>
  <conditionalFormatting sqref="F342:G342">
    <cfRule type="cellIs" dxfId="159" priority="206" stopIfTrue="1" operator="equal">
      <formula>0</formula>
    </cfRule>
  </conditionalFormatting>
  <conditionalFormatting sqref="F343:G343">
    <cfRule type="cellIs" dxfId="158" priority="205" stopIfTrue="1" operator="equal">
      <formula>0</formula>
    </cfRule>
  </conditionalFormatting>
  <conditionalFormatting sqref="F344:G344">
    <cfRule type="cellIs" dxfId="157" priority="204" stopIfTrue="1" operator="equal">
      <formula>0</formula>
    </cfRule>
  </conditionalFormatting>
  <conditionalFormatting sqref="F345:G347">
    <cfRule type="cellIs" dxfId="156" priority="203" stopIfTrue="1" operator="equal">
      <formula>0</formula>
    </cfRule>
  </conditionalFormatting>
  <conditionalFormatting sqref="F348:G348">
    <cfRule type="cellIs" dxfId="155" priority="200" stopIfTrue="1" operator="equal">
      <formula>0</formula>
    </cfRule>
  </conditionalFormatting>
  <conditionalFormatting sqref="F349:G349">
    <cfRule type="cellIs" dxfId="154" priority="199" stopIfTrue="1" operator="equal">
      <formula>0</formula>
    </cfRule>
  </conditionalFormatting>
  <conditionalFormatting sqref="F350:G350">
    <cfRule type="cellIs" dxfId="153" priority="198" stopIfTrue="1" operator="equal">
      <formula>0</formula>
    </cfRule>
  </conditionalFormatting>
  <conditionalFormatting sqref="F351:G353">
    <cfRule type="cellIs" dxfId="152" priority="197" stopIfTrue="1" operator="equal">
      <formula>0</formula>
    </cfRule>
  </conditionalFormatting>
  <conditionalFormatting sqref="F354:G354">
    <cfRule type="cellIs" dxfId="151" priority="196" stopIfTrue="1" operator="equal">
      <formula>0</formula>
    </cfRule>
  </conditionalFormatting>
  <conditionalFormatting sqref="F355:G356">
    <cfRule type="cellIs" dxfId="150" priority="192" stopIfTrue="1" operator="equal">
      <formula>0</formula>
    </cfRule>
  </conditionalFormatting>
  <conditionalFormatting sqref="F381:G381">
    <cfRule type="cellIs" dxfId="149" priority="191" stopIfTrue="1" operator="equal">
      <formula>0</formula>
    </cfRule>
  </conditionalFormatting>
  <conditionalFormatting sqref="F16:G16">
    <cfRule type="cellIs" dxfId="148" priority="189" stopIfTrue="1" operator="equal">
      <formula>0</formula>
    </cfRule>
  </conditionalFormatting>
  <conditionalFormatting sqref="F8:G8">
    <cfRule type="cellIs" dxfId="147" priority="190" stopIfTrue="1" operator="equal">
      <formula>0</formula>
    </cfRule>
  </conditionalFormatting>
  <conditionalFormatting sqref="F28:G28">
    <cfRule type="cellIs" dxfId="146" priority="188" stopIfTrue="1" operator="equal">
      <formula>0</formula>
    </cfRule>
  </conditionalFormatting>
  <conditionalFormatting sqref="F106:G106">
    <cfRule type="cellIs" dxfId="145" priority="186" stopIfTrue="1" operator="equal">
      <formula>0</formula>
    </cfRule>
  </conditionalFormatting>
  <conditionalFormatting sqref="F66:G66">
    <cfRule type="cellIs" dxfId="144" priority="187" stopIfTrue="1" operator="equal">
      <formula>0</formula>
    </cfRule>
  </conditionalFormatting>
  <conditionalFormatting sqref="F126:G126">
    <cfRule type="cellIs" dxfId="143" priority="185" stopIfTrue="1" operator="equal">
      <formula>0</formula>
    </cfRule>
  </conditionalFormatting>
  <conditionalFormatting sqref="F192:G192">
    <cfRule type="cellIs" dxfId="142" priority="181" stopIfTrue="1" operator="equal">
      <formula>0</formula>
    </cfRule>
  </conditionalFormatting>
  <conditionalFormatting sqref="F152:G152">
    <cfRule type="cellIs" dxfId="141" priority="184" stopIfTrue="1" operator="equal">
      <formula>0</formula>
    </cfRule>
  </conditionalFormatting>
  <conditionalFormatting sqref="F157:G157">
    <cfRule type="cellIs" dxfId="140" priority="183" stopIfTrue="1" operator="equal">
      <formula>0</formula>
    </cfRule>
  </conditionalFormatting>
  <conditionalFormatting sqref="F165:G165">
    <cfRule type="cellIs" dxfId="139" priority="182" stopIfTrue="1" operator="equal">
      <formula>0</formula>
    </cfRule>
  </conditionalFormatting>
  <conditionalFormatting sqref="F199:G199">
    <cfRule type="cellIs" dxfId="138" priority="180" stopIfTrue="1" operator="equal">
      <formula>0</formula>
    </cfRule>
  </conditionalFormatting>
  <conditionalFormatting sqref="F206:G206">
    <cfRule type="cellIs" dxfId="137" priority="179" stopIfTrue="1" operator="equal">
      <formula>0</formula>
    </cfRule>
  </conditionalFormatting>
  <conditionalFormatting sqref="F464:G464">
    <cfRule type="cellIs" dxfId="136" priority="177" stopIfTrue="1" operator="equal">
      <formula>0</formula>
    </cfRule>
  </conditionalFormatting>
  <conditionalFormatting sqref="F228:G228">
    <cfRule type="cellIs" dxfId="135" priority="178" stopIfTrue="1" operator="equal">
      <formula>0</formula>
    </cfRule>
  </conditionalFormatting>
  <conditionalFormatting sqref="F492:G498">
    <cfRule type="cellIs" dxfId="134" priority="172" stopIfTrue="1" operator="equal">
      <formula>0</formula>
    </cfRule>
  </conditionalFormatting>
  <conditionalFormatting sqref="F500:G500">
    <cfRule type="cellIs" dxfId="133" priority="170" stopIfTrue="1" operator="equal">
      <formula>0</formula>
    </cfRule>
  </conditionalFormatting>
  <conditionalFormatting sqref="F499:G499">
    <cfRule type="cellIs" dxfId="132" priority="171" stopIfTrue="1" operator="equal">
      <formula>0</formula>
    </cfRule>
  </conditionalFormatting>
  <conditionalFormatting sqref="F523:G523">
    <cfRule type="cellIs" dxfId="131" priority="168" stopIfTrue="1" operator="equal">
      <formula>0</formula>
    </cfRule>
  </conditionalFormatting>
  <conditionalFormatting sqref="F522:G522">
    <cfRule type="cellIs" dxfId="130" priority="169" stopIfTrue="1" operator="equal">
      <formula>0</formula>
    </cfRule>
  </conditionalFormatting>
  <conditionalFormatting sqref="F548:G549">
    <cfRule type="cellIs" dxfId="129" priority="167" stopIfTrue="1" operator="equal">
      <formula>0</formula>
    </cfRule>
  </conditionalFormatting>
  <conditionalFormatting sqref="F544:G544">
    <cfRule type="cellIs" dxfId="128" priority="165" stopIfTrue="1" operator="equal">
      <formula>0</formula>
    </cfRule>
  </conditionalFormatting>
  <conditionalFormatting sqref="F545:G545">
    <cfRule type="cellIs" dxfId="127" priority="166" stopIfTrue="1" operator="equal">
      <formula>0</formula>
    </cfRule>
  </conditionalFormatting>
  <conditionalFormatting sqref="F547:G547">
    <cfRule type="cellIs" dxfId="126" priority="163" stopIfTrue="1" operator="equal">
      <formula>0</formula>
    </cfRule>
  </conditionalFormatting>
  <conditionalFormatting sqref="F546:G546">
    <cfRule type="cellIs" dxfId="125" priority="164" stopIfTrue="1" operator="equal">
      <formula>0</formula>
    </cfRule>
  </conditionalFormatting>
  <conditionalFormatting sqref="F551:G551">
    <cfRule type="cellIs" dxfId="124" priority="161" stopIfTrue="1" operator="equal">
      <formula>0</formula>
    </cfRule>
  </conditionalFormatting>
  <conditionalFormatting sqref="F550:G550">
    <cfRule type="cellIs" dxfId="123" priority="162" stopIfTrue="1" operator="equal">
      <formula>0</formula>
    </cfRule>
  </conditionalFormatting>
  <conditionalFormatting sqref="F552:G552">
    <cfRule type="cellIs" dxfId="122" priority="160" stopIfTrue="1" operator="equal">
      <formula>0</formula>
    </cfRule>
  </conditionalFormatting>
  <conditionalFormatting sqref="F27:G27">
    <cfRule type="cellIs" dxfId="121" priority="158" stopIfTrue="1" operator="equal">
      <formula>0</formula>
    </cfRule>
  </conditionalFormatting>
  <conditionalFormatting sqref="F77:G77">
    <cfRule type="cellIs" dxfId="120" priority="157" stopIfTrue="1" operator="equal">
      <formula>0</formula>
    </cfRule>
  </conditionalFormatting>
  <conditionalFormatting sqref="F120:G120">
    <cfRule type="cellIs" dxfId="119" priority="156" stopIfTrue="1" operator="equal">
      <formula>0</formula>
    </cfRule>
  </conditionalFormatting>
  <conditionalFormatting sqref="F117:G117">
    <cfRule type="cellIs" dxfId="118" priority="155" stopIfTrue="1" operator="equal">
      <formula>0</formula>
    </cfRule>
  </conditionalFormatting>
  <conditionalFormatting sqref="F119:G119">
    <cfRule type="cellIs" dxfId="117" priority="154" stopIfTrue="1" operator="equal">
      <formula>0</formula>
    </cfRule>
  </conditionalFormatting>
  <conditionalFormatting sqref="F130:G131">
    <cfRule type="cellIs" dxfId="116" priority="153" stopIfTrue="1" operator="equal">
      <formula>0</formula>
    </cfRule>
  </conditionalFormatting>
  <conditionalFormatting sqref="G132:G139">
    <cfRule type="cellIs" dxfId="115" priority="152" stopIfTrue="1" operator="equal">
      <formula>0</formula>
    </cfRule>
  </conditionalFormatting>
  <conditionalFormatting sqref="F132:F139">
    <cfRule type="cellIs" dxfId="114" priority="151" stopIfTrue="1" operator="equal">
      <formula>0</formula>
    </cfRule>
  </conditionalFormatting>
  <conditionalFormatting sqref="F144:G144">
    <cfRule type="cellIs" dxfId="113" priority="150" stopIfTrue="1" operator="equal">
      <formula>0</formula>
    </cfRule>
  </conditionalFormatting>
  <conditionalFormatting sqref="F145:G150">
    <cfRule type="cellIs" dxfId="112" priority="149" stopIfTrue="1" operator="equal">
      <formula>0</formula>
    </cfRule>
  </conditionalFormatting>
  <conditionalFormatting sqref="F155:G155">
    <cfRule type="cellIs" dxfId="111" priority="148" stopIfTrue="1" operator="equal">
      <formula>0</formula>
    </cfRule>
  </conditionalFormatting>
  <conditionalFormatting sqref="F168:G168">
    <cfRule type="cellIs" dxfId="110" priority="147" stopIfTrue="1" operator="equal">
      <formula>0</formula>
    </cfRule>
  </conditionalFormatting>
  <conditionalFormatting sqref="F170:G170">
    <cfRule type="cellIs" dxfId="109" priority="146" stopIfTrue="1" operator="equal">
      <formula>0</formula>
    </cfRule>
  </conditionalFormatting>
  <conditionalFormatting sqref="G170">
    <cfRule type="cellIs" dxfId="108" priority="145" stopIfTrue="1" operator="equal">
      <formula>0</formula>
    </cfRule>
  </conditionalFormatting>
  <conditionalFormatting sqref="G170">
    <cfRule type="cellIs" dxfId="107" priority="144" stopIfTrue="1" operator="equal">
      <formula>0</formula>
    </cfRule>
  </conditionalFormatting>
  <conditionalFormatting sqref="F171">
    <cfRule type="cellIs" dxfId="106" priority="143" stopIfTrue="1" operator="equal">
      <formula>0</formula>
    </cfRule>
  </conditionalFormatting>
  <conditionalFormatting sqref="G171">
    <cfRule type="cellIs" dxfId="105" priority="142" stopIfTrue="1" operator="equal">
      <formula>0</formula>
    </cfRule>
  </conditionalFormatting>
  <conditionalFormatting sqref="G171">
    <cfRule type="cellIs" dxfId="104" priority="141" stopIfTrue="1" operator="equal">
      <formula>0</formula>
    </cfRule>
  </conditionalFormatting>
  <conditionalFormatting sqref="G174">
    <cfRule type="cellIs" dxfId="103" priority="140" stopIfTrue="1" operator="equal">
      <formula>0</formula>
    </cfRule>
  </conditionalFormatting>
  <conditionalFormatting sqref="F174">
    <cfRule type="cellIs" dxfId="102" priority="139" stopIfTrue="1" operator="equal">
      <formula>0</formula>
    </cfRule>
  </conditionalFormatting>
  <conditionalFormatting sqref="G175">
    <cfRule type="cellIs" dxfId="101" priority="138" stopIfTrue="1" operator="equal">
      <formula>0</formula>
    </cfRule>
  </conditionalFormatting>
  <conditionalFormatting sqref="G175">
    <cfRule type="cellIs" dxfId="100" priority="137" stopIfTrue="1" operator="equal">
      <formula>0</formula>
    </cfRule>
  </conditionalFormatting>
  <conditionalFormatting sqref="F175">
    <cfRule type="cellIs" dxfId="99" priority="136" stopIfTrue="1" operator="equal">
      <formula>0</formula>
    </cfRule>
  </conditionalFormatting>
  <conditionalFormatting sqref="F177:G177 F184:G184">
    <cfRule type="cellIs" dxfId="98" priority="132" stopIfTrue="1" operator="equal">
      <formula>0</formula>
    </cfRule>
  </conditionalFormatting>
  <conditionalFormatting sqref="G178:G179">
    <cfRule type="cellIs" dxfId="97" priority="131" stopIfTrue="1" operator="equal">
      <formula>0</formula>
    </cfRule>
  </conditionalFormatting>
  <conditionalFormatting sqref="F178:F179">
    <cfRule type="cellIs" dxfId="96" priority="130" stopIfTrue="1" operator="equal">
      <formula>0</formula>
    </cfRule>
  </conditionalFormatting>
  <conditionalFormatting sqref="G180:G181">
    <cfRule type="cellIs" dxfId="95" priority="129" stopIfTrue="1" operator="equal">
      <formula>0</formula>
    </cfRule>
  </conditionalFormatting>
  <conditionalFormatting sqref="G180:G181">
    <cfRule type="cellIs" dxfId="94" priority="128" stopIfTrue="1" operator="equal">
      <formula>0</formula>
    </cfRule>
  </conditionalFormatting>
  <conditionalFormatting sqref="F180:F181">
    <cfRule type="cellIs" dxfId="93" priority="127" stopIfTrue="1" operator="equal">
      <formula>0</formula>
    </cfRule>
  </conditionalFormatting>
  <conditionalFormatting sqref="F186:G186 F188:G189">
    <cfRule type="cellIs" dxfId="92" priority="123" stopIfTrue="1" operator="equal">
      <formula>0</formula>
    </cfRule>
  </conditionalFormatting>
  <conditionalFormatting sqref="F187:G187">
    <cfRule type="cellIs" dxfId="91" priority="122" stopIfTrue="1" operator="equal">
      <formula>0</formula>
    </cfRule>
  </conditionalFormatting>
  <conditionalFormatting sqref="F191:G191">
    <cfRule type="cellIs" dxfId="90" priority="121" stopIfTrue="1" operator="equal">
      <formula>0</formula>
    </cfRule>
  </conditionalFormatting>
  <conditionalFormatting sqref="F210:G210">
    <cfRule type="cellIs" dxfId="89" priority="113" stopIfTrue="1" operator="equal">
      <formula>0</formula>
    </cfRule>
  </conditionalFormatting>
  <conditionalFormatting sqref="F211">
    <cfRule type="cellIs" dxfId="88" priority="109" stopIfTrue="1" operator="equal">
      <formula>0</formula>
    </cfRule>
  </conditionalFormatting>
  <conditionalFormatting sqref="G211">
    <cfRule type="cellIs" dxfId="87" priority="108" stopIfTrue="1" operator="equal">
      <formula>0</formula>
    </cfRule>
  </conditionalFormatting>
  <conditionalFormatting sqref="G211">
    <cfRule type="cellIs" dxfId="86" priority="107" stopIfTrue="1" operator="equal">
      <formula>0</formula>
    </cfRule>
  </conditionalFormatting>
  <conditionalFormatting sqref="F214:G215">
    <cfRule type="cellIs" dxfId="85" priority="105" stopIfTrue="1" operator="equal">
      <formula>0</formula>
    </cfRule>
  </conditionalFormatting>
  <conditionalFormatting sqref="F214:G214">
    <cfRule type="cellIs" dxfId="84" priority="104" stopIfTrue="1" operator="equal">
      <formula>0</formula>
    </cfRule>
  </conditionalFormatting>
  <conditionalFormatting sqref="F215">
    <cfRule type="cellIs" dxfId="83" priority="103" stopIfTrue="1" operator="equal">
      <formula>0</formula>
    </cfRule>
  </conditionalFormatting>
  <conditionalFormatting sqref="G215">
    <cfRule type="cellIs" dxfId="82" priority="102" stopIfTrue="1" operator="equal">
      <formula>0</formula>
    </cfRule>
  </conditionalFormatting>
  <conditionalFormatting sqref="G215">
    <cfRule type="cellIs" dxfId="81" priority="101" stopIfTrue="1" operator="equal">
      <formula>0</formula>
    </cfRule>
  </conditionalFormatting>
  <conditionalFormatting sqref="F194:G194">
    <cfRule type="cellIs" dxfId="80" priority="99" stopIfTrue="1" operator="equal">
      <formula>0</formula>
    </cfRule>
  </conditionalFormatting>
  <conditionalFormatting sqref="F196:G196">
    <cfRule type="cellIs" dxfId="79" priority="97" stopIfTrue="1" operator="equal">
      <formula>0</formula>
    </cfRule>
  </conditionalFormatting>
  <conditionalFormatting sqref="F197:G197">
    <cfRule type="cellIs" dxfId="78" priority="96" stopIfTrue="1" operator="equal">
      <formula>0</formula>
    </cfRule>
  </conditionalFormatting>
  <conditionalFormatting sqref="F182:G183">
    <cfRule type="cellIs" dxfId="77" priority="95" stopIfTrue="1" operator="equal">
      <formula>0</formula>
    </cfRule>
  </conditionalFormatting>
  <conditionalFormatting sqref="F202:G202">
    <cfRule type="cellIs" dxfId="76" priority="94" stopIfTrue="1" operator="equal">
      <formula>0</formula>
    </cfRule>
  </conditionalFormatting>
  <conditionalFormatting sqref="G219">
    <cfRule type="cellIs" dxfId="75" priority="93" stopIfTrue="1" operator="equal">
      <formula>0</formula>
    </cfRule>
  </conditionalFormatting>
  <conditionalFormatting sqref="G219">
    <cfRule type="cellIs" dxfId="74" priority="92" stopIfTrue="1" operator="equal">
      <formula>0</formula>
    </cfRule>
  </conditionalFormatting>
  <conditionalFormatting sqref="F219">
    <cfRule type="cellIs" dxfId="73" priority="91" stopIfTrue="1" operator="equal">
      <formula>0</formula>
    </cfRule>
  </conditionalFormatting>
  <conditionalFormatting sqref="F226:G226">
    <cfRule type="cellIs" dxfId="72" priority="90" stopIfTrue="1" operator="equal">
      <formula>0</formula>
    </cfRule>
  </conditionalFormatting>
  <conditionalFormatting sqref="F225:G225">
    <cfRule type="cellIs" dxfId="71" priority="89" stopIfTrue="1" operator="equal">
      <formula>0</formula>
    </cfRule>
  </conditionalFormatting>
  <conditionalFormatting sqref="F231:G235">
    <cfRule type="cellIs" dxfId="70" priority="87" stopIfTrue="1" operator="equal">
      <formula>0</formula>
    </cfRule>
  </conditionalFormatting>
  <conditionalFormatting sqref="F236:G236">
    <cfRule type="cellIs" dxfId="69" priority="85" stopIfTrue="1" operator="equal">
      <formula>0</formula>
    </cfRule>
  </conditionalFormatting>
  <conditionalFormatting sqref="F237:G237">
    <cfRule type="cellIs" dxfId="68" priority="84" stopIfTrue="1" operator="equal">
      <formula>0</formula>
    </cfRule>
  </conditionalFormatting>
  <conditionalFormatting sqref="F238:G238">
    <cfRule type="cellIs" dxfId="67" priority="83" stopIfTrue="1" operator="equal">
      <formula>0</formula>
    </cfRule>
  </conditionalFormatting>
  <conditionalFormatting sqref="F239:G246">
    <cfRule type="cellIs" dxfId="66" priority="82" stopIfTrue="1" operator="equal">
      <formula>0</formula>
    </cfRule>
  </conditionalFormatting>
  <conditionalFormatting sqref="F247:G247">
    <cfRule type="cellIs" dxfId="65" priority="80" stopIfTrue="1" operator="equal">
      <formula>0</formula>
    </cfRule>
  </conditionalFormatting>
  <conditionalFormatting sqref="F256:G257">
    <cfRule type="cellIs" dxfId="64" priority="78" stopIfTrue="1" operator="equal">
      <formula>0</formula>
    </cfRule>
  </conditionalFormatting>
  <conditionalFormatting sqref="F258:F261">
    <cfRule type="cellIs" dxfId="63" priority="77" stopIfTrue="1" operator="equal">
      <formula>0</formula>
    </cfRule>
  </conditionalFormatting>
  <conditionalFormatting sqref="G258:G261">
    <cfRule type="cellIs" dxfId="62" priority="76" stopIfTrue="1" operator="equal">
      <formula>0</formula>
    </cfRule>
  </conditionalFormatting>
  <conditionalFormatting sqref="F279:G279">
    <cfRule type="cellIs" dxfId="61" priority="75" stopIfTrue="1" operator="equal">
      <formula>0</formula>
    </cfRule>
  </conditionalFormatting>
  <conditionalFormatting sqref="F280:G281">
    <cfRule type="cellIs" dxfId="60" priority="74" stopIfTrue="1" operator="equal">
      <formula>0</formula>
    </cfRule>
  </conditionalFormatting>
  <conditionalFormatting sqref="F282:G283">
    <cfRule type="cellIs" dxfId="59" priority="73" stopIfTrue="1" operator="equal">
      <formula>0</formula>
    </cfRule>
  </conditionalFormatting>
  <conditionalFormatting sqref="F284:G320">
    <cfRule type="cellIs" dxfId="58" priority="72" stopIfTrue="1" operator="equal">
      <formula>0</formula>
    </cfRule>
  </conditionalFormatting>
  <conditionalFormatting sqref="F337:G337">
    <cfRule type="cellIs" dxfId="57" priority="71" stopIfTrue="1" operator="equal">
      <formula>0</formula>
    </cfRule>
  </conditionalFormatting>
  <conditionalFormatting sqref="F336:G336">
    <cfRule type="cellIs" dxfId="56" priority="70" stopIfTrue="1" operator="equal">
      <formula>0</formula>
    </cfRule>
  </conditionalFormatting>
  <conditionalFormatting sqref="F334:G334">
    <cfRule type="cellIs" dxfId="55" priority="69" stopIfTrue="1" operator="equal">
      <formula>0</formula>
    </cfRule>
  </conditionalFormatting>
  <conditionalFormatting sqref="F335:G335">
    <cfRule type="cellIs" dxfId="54" priority="68" stopIfTrue="1" operator="equal">
      <formula>0</formula>
    </cfRule>
  </conditionalFormatting>
  <conditionalFormatting sqref="F341:G341">
    <cfRule type="cellIs" dxfId="53" priority="67" stopIfTrue="1" operator="equal">
      <formula>0</formula>
    </cfRule>
  </conditionalFormatting>
  <conditionalFormatting sqref="F358:G358">
    <cfRule type="cellIs" dxfId="52" priority="66" stopIfTrue="1" operator="equal">
      <formula>0</formula>
    </cfRule>
  </conditionalFormatting>
  <conditionalFormatting sqref="F357:G357">
    <cfRule type="cellIs" dxfId="51" priority="65" stopIfTrue="1" operator="equal">
      <formula>0</formula>
    </cfRule>
  </conditionalFormatting>
  <conditionalFormatting sqref="F359:G359">
    <cfRule type="cellIs" dxfId="50" priority="64" stopIfTrue="1" operator="equal">
      <formula>0</formula>
    </cfRule>
  </conditionalFormatting>
  <conditionalFormatting sqref="F360:G360">
    <cfRule type="cellIs" dxfId="49" priority="63" stopIfTrue="1" operator="equal">
      <formula>0</formula>
    </cfRule>
  </conditionalFormatting>
  <conditionalFormatting sqref="F361:G361">
    <cfRule type="cellIs" dxfId="48" priority="62" stopIfTrue="1" operator="equal">
      <formula>0</formula>
    </cfRule>
  </conditionalFormatting>
  <conditionalFormatting sqref="F362:G362">
    <cfRule type="cellIs" dxfId="47" priority="61" stopIfTrue="1" operator="equal">
      <formula>0</formula>
    </cfRule>
  </conditionalFormatting>
  <conditionalFormatting sqref="F363">
    <cfRule type="cellIs" dxfId="46" priority="60" stopIfTrue="1" operator="equal">
      <formula>0</formula>
    </cfRule>
  </conditionalFormatting>
  <conditionalFormatting sqref="G363">
    <cfRule type="cellIs" dxfId="45" priority="59" stopIfTrue="1" operator="equal">
      <formula>0</formula>
    </cfRule>
  </conditionalFormatting>
  <conditionalFormatting sqref="F364">
    <cfRule type="cellIs" dxfId="44" priority="58" stopIfTrue="1" operator="equal">
      <formula>0</formula>
    </cfRule>
  </conditionalFormatting>
  <conditionalFormatting sqref="G364">
    <cfRule type="cellIs" dxfId="43" priority="57" stopIfTrue="1" operator="equal">
      <formula>0</formula>
    </cfRule>
  </conditionalFormatting>
  <conditionalFormatting sqref="F365:G365">
    <cfRule type="cellIs" dxfId="42" priority="56" stopIfTrue="1" operator="equal">
      <formula>0</formula>
    </cfRule>
  </conditionalFormatting>
  <conditionalFormatting sqref="F366:G366">
    <cfRule type="cellIs" dxfId="41" priority="54" stopIfTrue="1" operator="equal">
      <formula>0</formula>
    </cfRule>
  </conditionalFormatting>
  <conditionalFormatting sqref="F367:G367">
    <cfRule type="cellIs" dxfId="40" priority="53" stopIfTrue="1" operator="equal">
      <formula>0</formula>
    </cfRule>
  </conditionalFormatting>
  <conditionalFormatting sqref="F368:G369">
    <cfRule type="cellIs" dxfId="39" priority="52" stopIfTrue="1" operator="equal">
      <formula>0</formula>
    </cfRule>
  </conditionalFormatting>
  <conditionalFormatting sqref="F389:G389">
    <cfRule type="cellIs" dxfId="38" priority="49" stopIfTrue="1" operator="equal">
      <formula>0</formula>
    </cfRule>
  </conditionalFormatting>
  <conditionalFormatting sqref="F418:G418">
    <cfRule type="cellIs" dxfId="37" priority="48" stopIfTrue="1" operator="equal">
      <formula>0</formula>
    </cfRule>
  </conditionalFormatting>
  <conditionalFormatting sqref="F419:G419">
    <cfRule type="cellIs" dxfId="36" priority="47" stopIfTrue="1" operator="equal">
      <formula>0</formula>
    </cfRule>
  </conditionalFormatting>
  <conditionalFormatting sqref="F420:G420">
    <cfRule type="cellIs" dxfId="35" priority="46" stopIfTrue="1" operator="equal">
      <formula>0</formula>
    </cfRule>
  </conditionalFormatting>
  <conditionalFormatting sqref="F421:G428">
    <cfRule type="cellIs" dxfId="34" priority="45" stopIfTrue="1" operator="equal">
      <formula>0</formula>
    </cfRule>
  </conditionalFormatting>
  <conditionalFormatting sqref="F449:G449 F452:G452 F450:F451">
    <cfRule type="cellIs" dxfId="33" priority="43" stopIfTrue="1" operator="equal">
      <formula>0</formula>
    </cfRule>
  </conditionalFormatting>
  <conditionalFormatting sqref="F465:G466">
    <cfRule type="cellIs" dxfId="32" priority="35" stopIfTrue="1" operator="equal">
      <formula>0</formula>
    </cfRule>
  </conditionalFormatting>
  <conditionalFormatting sqref="F467:G469">
    <cfRule type="cellIs" dxfId="31" priority="34" stopIfTrue="1" operator="equal">
      <formula>0</formula>
    </cfRule>
  </conditionalFormatting>
  <conditionalFormatting sqref="F471:G479">
    <cfRule type="cellIs" dxfId="30" priority="32" stopIfTrue="1" operator="equal">
      <formula>0</formula>
    </cfRule>
  </conditionalFormatting>
  <conditionalFormatting sqref="F470:G470">
    <cfRule type="cellIs" dxfId="29" priority="31" stopIfTrue="1" operator="equal">
      <formula>0</formula>
    </cfRule>
  </conditionalFormatting>
  <conditionalFormatting sqref="F480:G480">
    <cfRule type="cellIs" dxfId="28" priority="30" stopIfTrue="1" operator="equal">
      <formula>0</formula>
    </cfRule>
  </conditionalFormatting>
  <conditionalFormatting sqref="F481:G481">
    <cfRule type="cellIs" dxfId="27" priority="29" stopIfTrue="1" operator="equal">
      <formula>0</formula>
    </cfRule>
  </conditionalFormatting>
  <conditionalFormatting sqref="F502:G516">
    <cfRule type="cellIs" dxfId="26" priority="27" stopIfTrue="1" operator="equal">
      <formula>0</formula>
    </cfRule>
  </conditionalFormatting>
  <conditionalFormatting sqref="F107:G109">
    <cfRule type="cellIs" dxfId="25" priority="26" stopIfTrue="1" operator="equal">
      <formula>0</formula>
    </cfRule>
  </conditionalFormatting>
  <conditionalFormatting sqref="F110:G110">
    <cfRule type="cellIs" dxfId="24" priority="25" stopIfTrue="1" operator="equal">
      <formula>0</formula>
    </cfRule>
  </conditionalFormatting>
  <conditionalFormatting sqref="F111:G112">
    <cfRule type="cellIs" dxfId="23" priority="24" stopIfTrue="1" operator="equal">
      <formula>0</formula>
    </cfRule>
  </conditionalFormatting>
  <conditionalFormatting sqref="F114:G114">
    <cfRule type="cellIs" dxfId="22" priority="23" stopIfTrue="1" operator="equal">
      <formula>0</formula>
    </cfRule>
  </conditionalFormatting>
  <conditionalFormatting sqref="F113:G113">
    <cfRule type="cellIs" dxfId="21" priority="22" stopIfTrue="1" operator="equal">
      <formula>0</formula>
    </cfRule>
  </conditionalFormatting>
  <conditionalFormatting sqref="F153:G153">
    <cfRule type="cellIs" dxfId="20" priority="20" stopIfTrue="1" operator="equal">
      <formula>0</formula>
    </cfRule>
  </conditionalFormatting>
  <conditionalFormatting sqref="N35:O35">
    <cfRule type="cellIs" dxfId="19" priority="18" stopIfTrue="1" operator="equal">
      <formula>0</formula>
    </cfRule>
  </conditionalFormatting>
  <conditionalFormatting sqref="F35:G35">
    <cfRule type="cellIs" dxfId="18" priority="17" stopIfTrue="1" operator="equal">
      <formula>0</formula>
    </cfRule>
  </conditionalFormatting>
  <conditionalFormatting sqref="G450">
    <cfRule type="cellIs" dxfId="17" priority="16" stopIfTrue="1" operator="equal">
      <formula>0</formula>
    </cfRule>
  </conditionalFormatting>
  <conditionalFormatting sqref="G451">
    <cfRule type="cellIs" dxfId="16" priority="15" stopIfTrue="1" operator="equal">
      <formula>0</formula>
    </cfRule>
  </conditionalFormatting>
  <conditionalFormatting sqref="F453:G453">
    <cfRule type="cellIs" dxfId="15" priority="14" stopIfTrue="1" operator="equal">
      <formula>0</formula>
    </cfRule>
  </conditionalFormatting>
  <conditionalFormatting sqref="F454:G454">
    <cfRule type="cellIs" dxfId="14" priority="13" stopIfTrue="1" operator="equal">
      <formula>0</formula>
    </cfRule>
  </conditionalFormatting>
  <conditionalFormatting sqref="F524:G524">
    <cfRule type="cellIs" dxfId="13" priority="12" stopIfTrue="1" operator="equal">
      <formula>0</formula>
    </cfRule>
  </conditionalFormatting>
  <conditionalFormatting sqref="F525:G526">
    <cfRule type="cellIs" dxfId="12" priority="11" stopIfTrue="1" operator="equal">
      <formula>0</formula>
    </cfRule>
  </conditionalFormatting>
  <conditionalFormatting sqref="F542:G542">
    <cfRule type="cellIs" dxfId="11" priority="8" stopIfTrue="1" operator="equal">
      <formula>0</formula>
    </cfRule>
  </conditionalFormatting>
  <conditionalFormatting sqref="R9">
    <cfRule type="cellIs" dxfId="10" priority="7" stopIfTrue="1" operator="equal">
      <formula>0</formula>
    </cfRule>
  </conditionalFormatting>
  <conditionalFormatting sqref="L541:M541">
    <cfRule type="cellIs" dxfId="9" priority="6" stopIfTrue="1" operator="equal">
      <formula>0</formula>
    </cfRule>
  </conditionalFormatting>
  <conditionalFormatting sqref="F541:G541">
    <cfRule type="cellIs" dxfId="8" priority="5" stopIfTrue="1" operator="equal">
      <formula>0</formula>
    </cfRule>
  </conditionalFormatting>
  <conditionalFormatting sqref="V109">
    <cfRule type="cellIs" dxfId="7" priority="4" stopIfTrue="1" operator="equal">
      <formula>0</formula>
    </cfRule>
  </conditionalFormatting>
  <conditionalFormatting sqref="V112">
    <cfRule type="cellIs" dxfId="6" priority="3" stopIfTrue="1" operator="equal">
      <formula>0</formula>
    </cfRule>
  </conditionalFormatting>
  <conditionalFormatting sqref="F62:G62">
    <cfRule type="cellIs" dxfId="5" priority="2" stopIfTrue="1" operator="equal">
      <formula>0</formula>
    </cfRule>
  </conditionalFormatting>
  <conditionalFormatting sqref="F86:G86">
    <cfRule type="cellIs" dxfId="4" priority="1" stopIfTrue="1" operator="equal">
      <formula>0</formula>
    </cfRule>
  </conditionalFormatting>
  <pageMargins left="0.51181102362204722" right="0.51181102362204722" top="0.98425196850393704" bottom="0.59055118110236227" header="0.31496062992125984" footer="0.31496062992125984"/>
  <pageSetup paperSize="9" scale="65" orientation="portrait" r:id="rId1"/>
  <rowBreaks count="1" manualBreakCount="1">
    <brk id="52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6"/>
  <sheetViews>
    <sheetView topLeftCell="J1" zoomScale="80" zoomScaleNormal="80" workbookViewId="0">
      <selection activeCell="Z38" sqref="Z38"/>
    </sheetView>
  </sheetViews>
  <sheetFormatPr defaultRowHeight="15" x14ac:dyDescent="0.25"/>
  <cols>
    <col min="1" max="1" width="87" customWidth="1"/>
  </cols>
  <sheetData>
    <row r="1" spans="1:19" ht="43.5" customHeight="1" x14ac:dyDescent="0.25"/>
    <row r="2" spans="1:19" ht="10.5" customHeight="1" x14ac:dyDescent="0.25">
      <c r="G2" s="83"/>
      <c r="H2" s="83"/>
      <c r="I2" s="83"/>
      <c r="J2" s="83"/>
      <c r="K2" s="83"/>
      <c r="L2" s="83"/>
      <c r="M2" s="83"/>
      <c r="N2" s="83" t="s">
        <v>956</v>
      </c>
      <c r="O2" s="83"/>
      <c r="P2" s="83"/>
      <c r="Q2" s="83"/>
      <c r="R2" s="83"/>
      <c r="S2" s="83"/>
    </row>
    <row r="4" spans="1:19" ht="15.75" x14ac:dyDescent="0.25">
      <c r="A4" s="16"/>
      <c r="B4" s="16"/>
      <c r="C4" s="16"/>
      <c r="D4" s="16"/>
      <c r="E4" s="17" t="s">
        <v>157</v>
      </c>
      <c r="F4" s="17" t="s">
        <v>158</v>
      </c>
      <c r="G4" s="17" t="s">
        <v>159</v>
      </c>
      <c r="J4" s="16"/>
      <c r="K4" s="16"/>
      <c r="L4" s="16"/>
      <c r="M4" s="16"/>
      <c r="N4" s="16"/>
      <c r="O4" s="18" t="str">
        <f>"Quadro de Composição do BDI"</f>
        <v>Quadro de Composição do BDI</v>
      </c>
      <c r="P4" s="16"/>
      <c r="Q4" s="16"/>
      <c r="R4" s="403" t="s">
        <v>160</v>
      </c>
      <c r="S4" s="403"/>
    </row>
    <row r="5" spans="1:19" x14ac:dyDescent="0.25">
      <c r="A5" s="16" t="s">
        <v>161</v>
      </c>
      <c r="B5" s="19" t="s">
        <v>162</v>
      </c>
      <c r="C5" s="16" t="str">
        <f t="shared" ref="C5:C52" si="0">CONCATENATE(A5,"-",B5)</f>
        <v>Construção e Reforma de Edifícios-AC</v>
      </c>
      <c r="D5" s="16"/>
      <c r="E5" s="20">
        <v>0.03</v>
      </c>
      <c r="F5" s="20">
        <v>0.04</v>
      </c>
      <c r="G5" s="20">
        <v>5.5E-2</v>
      </c>
      <c r="J5" s="16"/>
      <c r="K5" s="16"/>
      <c r="L5" s="16"/>
      <c r="M5" s="16"/>
      <c r="N5" s="16"/>
      <c r="O5" s="16"/>
      <c r="P5" s="16"/>
      <c r="Q5" s="16"/>
      <c r="R5" s="404" t="s">
        <v>163</v>
      </c>
      <c r="S5" s="404"/>
    </row>
    <row r="6" spans="1:19" x14ac:dyDescent="0.25">
      <c r="A6" s="16" t="str">
        <f>A5</f>
        <v>Construção e Reforma de Edifícios</v>
      </c>
      <c r="B6" s="19" t="s">
        <v>164</v>
      </c>
      <c r="C6" s="16" t="str">
        <f t="shared" si="0"/>
        <v>Construção e Reforma de Edifícios-SG</v>
      </c>
      <c r="D6" s="16"/>
      <c r="E6" s="20">
        <v>8.0000000000000002E-3</v>
      </c>
      <c r="F6" s="20">
        <v>8.0000000000000002E-3</v>
      </c>
      <c r="G6" s="20">
        <v>0.01</v>
      </c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x14ac:dyDescent="0.25">
      <c r="A7" s="16" t="str">
        <f>A6</f>
        <v>Construção e Reforma de Edifícios</v>
      </c>
      <c r="B7" s="19" t="s">
        <v>165</v>
      </c>
      <c r="C7" s="16" t="str">
        <f t="shared" si="0"/>
        <v>Construção e Reforma de Edifícios-R</v>
      </c>
      <c r="D7" s="16"/>
      <c r="E7" s="20">
        <v>9.7000000000000003E-3</v>
      </c>
      <c r="F7" s="20">
        <v>1.2699999999999999E-2</v>
      </c>
      <c r="G7" s="20">
        <v>1.2699999999999999E-2</v>
      </c>
      <c r="J7" s="399" t="s">
        <v>166</v>
      </c>
      <c r="K7" s="399"/>
      <c r="L7" s="399" t="s">
        <v>167</v>
      </c>
      <c r="M7" s="399"/>
      <c r="N7" s="399" t="s">
        <v>168</v>
      </c>
      <c r="O7" s="399"/>
      <c r="P7" s="399"/>
      <c r="Q7" s="399"/>
      <c r="R7" s="399"/>
      <c r="S7" s="399"/>
    </row>
    <row r="8" spans="1:19" x14ac:dyDescent="0.25">
      <c r="A8" s="16" t="str">
        <f>A7</f>
        <v>Construção e Reforma de Edifícios</v>
      </c>
      <c r="B8" s="19" t="s">
        <v>169</v>
      </c>
      <c r="C8" s="16" t="str">
        <f t="shared" si="0"/>
        <v>Construção e Reforma de Edifícios-DF</v>
      </c>
      <c r="D8" s="16"/>
      <c r="E8" s="20">
        <v>5.8999999999999999E-3</v>
      </c>
      <c r="F8" s="20">
        <v>1.23E-2</v>
      </c>
      <c r="G8" s="20">
        <v>1.3899999999999999E-2</v>
      </c>
      <c r="J8" s="397"/>
      <c r="K8" s="397"/>
      <c r="L8" s="397"/>
      <c r="M8" s="397"/>
      <c r="N8" s="397"/>
      <c r="O8" s="397"/>
      <c r="P8" s="397"/>
      <c r="Q8" s="397"/>
      <c r="R8" s="397"/>
      <c r="S8" s="397"/>
    </row>
    <row r="9" spans="1:19" x14ac:dyDescent="0.25">
      <c r="A9" s="16" t="str">
        <f>A8</f>
        <v>Construção e Reforma de Edifícios</v>
      </c>
      <c r="B9" s="19" t="s">
        <v>170</v>
      </c>
      <c r="C9" s="16" t="str">
        <f t="shared" si="0"/>
        <v>Construção e Reforma de Edifícios-L</v>
      </c>
      <c r="D9" s="16"/>
      <c r="E9" s="20">
        <v>6.1600000000000002E-2</v>
      </c>
      <c r="F9" s="20">
        <v>7.400000000000001E-2</v>
      </c>
      <c r="G9" s="20">
        <v>8.9600000000000013E-2</v>
      </c>
      <c r="I9" s="398" t="s">
        <v>171</v>
      </c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x14ac:dyDescent="0.25">
      <c r="A10" s="16" t="str">
        <f>A9</f>
        <v>Construção e Reforma de Edifícios</v>
      </c>
      <c r="B10" s="22" t="s">
        <v>172</v>
      </c>
      <c r="C10" s="16" t="str">
        <f t="shared" si="0"/>
        <v>Construção e Reforma de Edifícios-BDI PAD</v>
      </c>
      <c r="D10" s="16"/>
      <c r="E10" s="20">
        <v>0.2034</v>
      </c>
      <c r="F10" s="20">
        <v>0.22120000000000001</v>
      </c>
      <c r="G10" s="20">
        <v>0.25</v>
      </c>
      <c r="I10" s="398"/>
      <c r="J10" s="399" t="str">
        <f>Orçamento!$A$4</f>
        <v>OBRA : UNIFACEF - CONSTRUÇÃO DE AMBULATÓRIO ESCOLA E OUTROS - FRANCA - SP</v>
      </c>
      <c r="K10" s="399"/>
      <c r="L10" s="399"/>
      <c r="M10" s="399"/>
      <c r="N10" s="399"/>
      <c r="O10" s="399"/>
      <c r="P10" s="399"/>
      <c r="Q10" s="399"/>
      <c r="R10" s="399"/>
      <c r="S10" s="399"/>
    </row>
    <row r="11" spans="1:19" x14ac:dyDescent="0.25">
      <c r="A11" s="16" t="s">
        <v>173</v>
      </c>
      <c r="B11" s="19" t="s">
        <v>162</v>
      </c>
      <c r="C11" s="16" t="str">
        <f t="shared" si="0"/>
        <v>Construção de Praças Urbanas, Rodovias, Ferrovias e recapeamento e pavimentação de vias urbanas-AC</v>
      </c>
      <c r="D11" s="16"/>
      <c r="E11" s="20">
        <v>3.7999999999999999E-2</v>
      </c>
      <c r="F11" s="20">
        <v>4.0099999999999997E-2</v>
      </c>
      <c r="G11" s="20">
        <v>4.6699999999999998E-2</v>
      </c>
      <c r="I11" s="398"/>
      <c r="J11" s="400"/>
      <c r="K11" s="400"/>
      <c r="L11" s="400"/>
      <c r="M11" s="400"/>
      <c r="N11" s="400"/>
      <c r="O11" s="400"/>
      <c r="P11" s="400"/>
      <c r="Q11" s="400"/>
      <c r="R11" s="400"/>
      <c r="S11" s="400"/>
    </row>
    <row r="12" spans="1:19" x14ac:dyDescent="0.25">
      <c r="A12" s="16" t="s">
        <v>173</v>
      </c>
      <c r="B12" s="19" t="s">
        <v>164</v>
      </c>
      <c r="C12" s="16" t="str">
        <f t="shared" si="0"/>
        <v>Construção de Praças Urbanas, Rodovias, Ferrovias e recapeamento e pavimentação de vias urbanas-SG</v>
      </c>
      <c r="D12" s="16"/>
      <c r="E12" s="20">
        <v>3.2000000000000002E-3</v>
      </c>
      <c r="F12" s="20">
        <v>4.0000000000000001E-3</v>
      </c>
      <c r="G12" s="20">
        <v>7.4000000000000003E-3</v>
      </c>
      <c r="I12" s="398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x14ac:dyDescent="0.25">
      <c r="A13" s="16" t="s">
        <v>173</v>
      </c>
      <c r="B13" s="19" t="s">
        <v>165</v>
      </c>
      <c r="C13" s="16" t="str">
        <f t="shared" si="0"/>
        <v>Construção de Praças Urbanas, Rodovias, Ferrovias e recapeamento e pavimentação de vias urbanas-R</v>
      </c>
      <c r="D13" s="16"/>
      <c r="E13" s="20">
        <v>5.0000000000000001E-3</v>
      </c>
      <c r="F13" s="20">
        <v>5.6000000000000008E-3</v>
      </c>
      <c r="G13" s="20">
        <v>9.7000000000000003E-3</v>
      </c>
      <c r="I13" s="398"/>
      <c r="J13" s="401" t="s">
        <v>174</v>
      </c>
      <c r="K13" s="401"/>
      <c r="L13" s="401"/>
      <c r="M13" s="401"/>
      <c r="N13" s="401"/>
      <c r="O13" s="401"/>
      <c r="P13" s="401"/>
      <c r="Q13" s="401"/>
      <c r="R13" s="402">
        <v>0.4</v>
      </c>
      <c r="S13" s="402"/>
    </row>
    <row r="14" spans="1:19" x14ac:dyDescent="0.25">
      <c r="A14" s="16" t="s">
        <v>173</v>
      </c>
      <c r="B14" s="19" t="s">
        <v>169</v>
      </c>
      <c r="C14" s="16" t="str">
        <f t="shared" si="0"/>
        <v>Construção de Praças Urbanas, Rodovias, Ferrovias e recapeamento e pavimentação de vias urbanas-DF</v>
      </c>
      <c r="D14" s="16"/>
      <c r="E14" s="20">
        <v>1.0200000000000001E-2</v>
      </c>
      <c r="F14" s="20">
        <v>1.11E-2</v>
      </c>
      <c r="G14" s="20">
        <v>1.21E-2</v>
      </c>
      <c r="I14" s="23" t="s">
        <v>175</v>
      </c>
      <c r="J14" s="405" t="s">
        <v>176</v>
      </c>
      <c r="K14" s="405"/>
      <c r="L14" s="405"/>
      <c r="M14" s="405"/>
      <c r="N14" s="405"/>
      <c r="O14" s="405"/>
      <c r="P14" s="405"/>
      <c r="Q14" s="405"/>
      <c r="R14" s="402">
        <v>0.04</v>
      </c>
      <c r="S14" s="402"/>
    </row>
    <row r="15" spans="1:19" x14ac:dyDescent="0.25">
      <c r="A15" s="16" t="s">
        <v>173</v>
      </c>
      <c r="B15" s="19" t="s">
        <v>170</v>
      </c>
      <c r="C15" s="16" t="str">
        <f t="shared" si="0"/>
        <v>Construção de Praças Urbanas, Rodovias, Ferrovias e recapeamento e pavimentação de vias urbanas-L</v>
      </c>
      <c r="D15" s="16"/>
      <c r="E15" s="20">
        <v>6.6400000000000001E-2</v>
      </c>
      <c r="F15" s="20">
        <v>7.2999999999999995E-2</v>
      </c>
      <c r="G15" s="20">
        <v>8.6899999999999991E-2</v>
      </c>
      <c r="I15" t="s">
        <v>177</v>
      </c>
      <c r="J15" s="24"/>
      <c r="K15" s="24"/>
      <c r="L15" s="24"/>
      <c r="M15" s="24"/>
      <c r="N15" s="24"/>
      <c r="O15" s="24"/>
      <c r="P15" s="24"/>
      <c r="Q15" s="24"/>
      <c r="R15" s="24"/>
      <c r="S15" s="24"/>
    </row>
    <row r="16" spans="1:19" x14ac:dyDescent="0.25">
      <c r="A16" s="16" t="s">
        <v>173</v>
      </c>
      <c r="B16" s="22" t="s">
        <v>172</v>
      </c>
      <c r="C16" s="16" t="str">
        <f t="shared" si="0"/>
        <v>Construção de Praças Urbanas, Rodovias, Ferrovias e recapeamento e pavimentação de vias urbanas-BDI PAD</v>
      </c>
      <c r="D16" s="16"/>
      <c r="E16" s="20">
        <v>0.19600000000000001</v>
      </c>
      <c r="F16" s="20">
        <v>0.2097</v>
      </c>
      <c r="G16" s="20">
        <v>0.24230000000000002</v>
      </c>
      <c r="I16" t="s">
        <v>177</v>
      </c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spans="1:26" ht="15.75" x14ac:dyDescent="0.25">
      <c r="A17" s="16" t="s">
        <v>178</v>
      </c>
      <c r="B17" s="19" t="s">
        <v>162</v>
      </c>
      <c r="C17" s="16" t="str">
        <f t="shared" si="0"/>
        <v>Construção de Redes de Abastecimento de Água, Coleta de Esgoto-AC</v>
      </c>
      <c r="D17" s="16"/>
      <c r="E17" s="20">
        <v>3.4300000000000004E-2</v>
      </c>
      <c r="F17" s="20">
        <v>4.9299999999999997E-2</v>
      </c>
      <c r="G17" s="20">
        <v>6.7099999999999993E-2</v>
      </c>
      <c r="I17" t="s">
        <v>177</v>
      </c>
      <c r="J17" s="408" t="s">
        <v>179</v>
      </c>
      <c r="K17" s="408"/>
      <c r="L17" s="408"/>
      <c r="M17" s="408"/>
      <c r="N17" s="408"/>
      <c r="O17" s="408"/>
      <c r="P17" s="408"/>
      <c r="Q17" s="408"/>
      <c r="R17" s="408"/>
      <c r="S17" s="408"/>
    </row>
    <row r="18" spans="1:26" x14ac:dyDescent="0.25">
      <c r="A18" s="16" t="str">
        <f>A17</f>
        <v>Construção de Redes de Abastecimento de Água, Coleta de Esgoto</v>
      </c>
      <c r="B18" s="19" t="s">
        <v>164</v>
      </c>
      <c r="C18" s="16" t="str">
        <f t="shared" si="0"/>
        <v>Construção de Redes de Abastecimento de Água, Coleta de Esgoto-SG</v>
      </c>
      <c r="D18" s="16"/>
      <c r="E18" s="20">
        <v>2.8000000000000004E-3</v>
      </c>
      <c r="F18" s="20">
        <v>4.8999999999999998E-3</v>
      </c>
      <c r="G18" s="20">
        <v>7.4999999999999997E-3</v>
      </c>
      <c r="I18" t="s">
        <v>177</v>
      </c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spans="1:26" x14ac:dyDescent="0.25">
      <c r="A19" s="16" t="str">
        <f>A18</f>
        <v>Construção de Redes de Abastecimento de Água, Coleta de Esgoto</v>
      </c>
      <c r="B19" s="19" t="s">
        <v>165</v>
      </c>
      <c r="C19" s="16" t="str">
        <f t="shared" si="0"/>
        <v>Construção de Redes de Abastecimento de Água, Coleta de Esgoto-R</v>
      </c>
      <c r="D19" s="16"/>
      <c r="E19" s="20">
        <v>0.01</v>
      </c>
      <c r="F19" s="20">
        <v>1.3899999999999999E-2</v>
      </c>
      <c r="G19" s="20">
        <v>1.7399999999999999E-2</v>
      </c>
      <c r="I19" t="s">
        <v>177</v>
      </c>
      <c r="J19" s="399" t="s">
        <v>180</v>
      </c>
      <c r="K19" s="399"/>
      <c r="L19" s="399"/>
      <c r="M19" s="399"/>
      <c r="N19" s="399"/>
      <c r="O19" s="399"/>
      <c r="P19" s="399"/>
      <c r="Q19" s="399"/>
      <c r="R19" s="399"/>
      <c r="S19" s="399"/>
    </row>
    <row r="20" spans="1:26" x14ac:dyDescent="0.25">
      <c r="A20" s="16" t="str">
        <f>A19</f>
        <v>Construção de Redes de Abastecimento de Água, Coleta de Esgoto</v>
      </c>
      <c r="B20" s="19" t="s">
        <v>169</v>
      </c>
      <c r="C20" s="16" t="str">
        <f t="shared" si="0"/>
        <v>Construção de Redes de Abastecimento de Água, Coleta de Esgoto-DF</v>
      </c>
      <c r="D20" s="16"/>
      <c r="E20" s="20">
        <v>9.3999999999999986E-3</v>
      </c>
      <c r="F20" s="20">
        <v>9.8999999999999991E-3</v>
      </c>
      <c r="G20" s="20">
        <v>1.1699999999999999E-2</v>
      </c>
      <c r="I20" t="s">
        <v>177</v>
      </c>
      <c r="J20" s="409" t="s">
        <v>161</v>
      </c>
      <c r="K20" s="409"/>
      <c r="L20" s="409"/>
      <c r="M20" s="409"/>
      <c r="N20" s="409"/>
      <c r="O20" s="409"/>
      <c r="P20" s="409"/>
      <c r="Q20" s="409"/>
      <c r="R20" s="409"/>
      <c r="S20" s="409"/>
    </row>
    <row r="21" spans="1:26" x14ac:dyDescent="0.25">
      <c r="A21" s="16" t="str">
        <f>A20</f>
        <v>Construção de Redes de Abastecimento de Água, Coleta de Esgoto</v>
      </c>
      <c r="B21" s="19" t="s">
        <v>170</v>
      </c>
      <c r="C21" s="16" t="str">
        <f t="shared" si="0"/>
        <v>Construção de Redes de Abastecimento de Água, Coleta de Esgoto-L</v>
      </c>
      <c r="D21" s="16"/>
      <c r="E21" s="20">
        <v>6.7400000000000002E-2</v>
      </c>
      <c r="F21" s="20">
        <v>8.0399999999999985E-2</v>
      </c>
      <c r="G21" s="20">
        <v>9.4E-2</v>
      </c>
      <c r="I21" t="s">
        <v>177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</row>
    <row r="22" spans="1:26" x14ac:dyDescent="0.25">
      <c r="A22" s="16" t="str">
        <f>A21</f>
        <v>Construção de Redes de Abastecimento de Água, Coleta de Esgoto</v>
      </c>
      <c r="B22" s="22" t="s">
        <v>172</v>
      </c>
      <c r="C22" s="16" t="str">
        <f t="shared" si="0"/>
        <v>Construção de Redes de Abastecimento de Água, Coleta de Esgoto-BDI PAD</v>
      </c>
      <c r="D22" s="16"/>
      <c r="E22" s="20">
        <v>0.20760000000000001</v>
      </c>
      <c r="F22" s="20">
        <v>0.24179999999999999</v>
      </c>
      <c r="G22" s="20">
        <v>0.26440000000000002</v>
      </c>
      <c r="I22" t="s">
        <v>177</v>
      </c>
      <c r="J22" s="410" t="s">
        <v>181</v>
      </c>
      <c r="K22" s="410"/>
      <c r="L22" s="410"/>
      <c r="M22" s="410"/>
      <c r="N22" s="410"/>
      <c r="O22" s="410"/>
      <c r="P22" s="410"/>
      <c r="Q22" s="410"/>
      <c r="R22" s="410" t="s">
        <v>182</v>
      </c>
      <c r="S22" s="406" t="s">
        <v>183</v>
      </c>
      <c r="U22" s="406" t="s">
        <v>184</v>
      </c>
      <c r="V22" s="406"/>
      <c r="W22" s="406"/>
      <c r="X22" s="407" t="s">
        <v>185</v>
      </c>
      <c r="Y22" s="407" t="s">
        <v>186</v>
      </c>
      <c r="Z22" s="407" t="s">
        <v>187</v>
      </c>
    </row>
    <row r="23" spans="1:26" x14ac:dyDescent="0.25">
      <c r="A23" s="16" t="s">
        <v>188</v>
      </c>
      <c r="B23" s="19" t="s">
        <v>162</v>
      </c>
      <c r="C23" s="16" t="str">
        <f t="shared" si="0"/>
        <v>Construção e Manutenção de Estações e Redes de Distribuição de Energia Elétrica-AC</v>
      </c>
      <c r="D23" s="16"/>
      <c r="E23" s="20">
        <v>5.2900000000000003E-2</v>
      </c>
      <c r="F23" s="20">
        <v>5.9200000000000003E-2</v>
      </c>
      <c r="G23" s="20">
        <v>7.9299999999999995E-2</v>
      </c>
      <c r="I23" t="s">
        <v>177</v>
      </c>
      <c r="J23" s="410"/>
      <c r="K23" s="410"/>
      <c r="L23" s="410"/>
      <c r="M23" s="410"/>
      <c r="N23" s="410"/>
      <c r="O23" s="410"/>
      <c r="P23" s="410"/>
      <c r="Q23" s="410"/>
      <c r="R23" s="410"/>
      <c r="S23" s="406"/>
      <c r="U23" s="406"/>
      <c r="V23" s="406"/>
      <c r="W23" s="406"/>
      <c r="X23" s="407"/>
      <c r="Y23" s="407"/>
      <c r="Z23" s="407"/>
    </row>
    <row r="24" spans="1:26" x14ac:dyDescent="0.25">
      <c r="A24" s="16" t="str">
        <f>A23</f>
        <v>Construção e Manutenção de Estações e Redes de Distribuição de Energia Elétrica</v>
      </c>
      <c r="B24" s="19" t="s">
        <v>164</v>
      </c>
      <c r="C24" s="16" t="str">
        <f t="shared" si="0"/>
        <v>Construção e Manutenção de Estações e Redes de Distribuição de Energia Elétrica-SG</v>
      </c>
      <c r="D24" s="16"/>
      <c r="E24" s="20">
        <v>2.5000000000000001E-3</v>
      </c>
      <c r="F24" s="20">
        <v>5.1000000000000004E-3</v>
      </c>
      <c r="G24" s="20">
        <v>5.6000000000000008E-3</v>
      </c>
      <c r="I24" t="s">
        <v>177</v>
      </c>
      <c r="J24" s="411" t="str">
        <f>IF($J$20=$A$149,"Encargos Sociais incidentes sobre a mão de obra","Administração Central")</f>
        <v>Administração Central</v>
      </c>
      <c r="K24" s="411"/>
      <c r="L24" s="411"/>
      <c r="M24" s="411"/>
      <c r="N24" s="411"/>
      <c r="O24" s="411"/>
      <c r="P24" s="411"/>
      <c r="Q24" s="411"/>
      <c r="R24" s="25" t="str">
        <f>IF($J20=$A$149,"K1","AC")</f>
        <v>AC</v>
      </c>
      <c r="S24" s="26">
        <f>Y24</f>
        <v>0.04</v>
      </c>
      <c r="U24" s="412" t="s">
        <v>189</v>
      </c>
      <c r="V24" s="412"/>
      <c r="W24" s="412"/>
      <c r="X24" s="27">
        <f>VLOOKUP(CONCATENATE(J20,"-",R24),$C$5:$G$139,3,FALSE)</f>
        <v>0.03</v>
      </c>
      <c r="Y24" s="27">
        <f>VLOOKUP(CONCATENATE(J20,"-",R24),$C$5:$G$139,4,FALSE)</f>
        <v>0.04</v>
      </c>
      <c r="Z24" s="27">
        <f>VLOOKUP(CONCATENATE(J20,"-",R24),$C$5:$G$139,5,FALSE)</f>
        <v>5.5E-2</v>
      </c>
    </row>
    <row r="25" spans="1:26" x14ac:dyDescent="0.25">
      <c r="A25" s="16" t="str">
        <f>A24</f>
        <v>Construção e Manutenção de Estações e Redes de Distribuição de Energia Elétrica</v>
      </c>
      <c r="B25" s="19" t="s">
        <v>165</v>
      </c>
      <c r="C25" s="16" t="str">
        <f t="shared" si="0"/>
        <v>Construção e Manutenção de Estações e Redes de Distribuição de Energia Elétrica-R</v>
      </c>
      <c r="D25" s="16"/>
      <c r="E25" s="20">
        <v>0.01</v>
      </c>
      <c r="F25" s="20">
        <v>1.4800000000000001E-2</v>
      </c>
      <c r="G25" s="20">
        <v>1.9699999999999999E-2</v>
      </c>
      <c r="I25" t="s">
        <v>177</v>
      </c>
      <c r="J25" s="411" t="str">
        <f>IF($J$20=$A$149,"Administração Central da empresa ou consultoria - overhead","Seguro e Garantia")</f>
        <v>Seguro e Garantia</v>
      </c>
      <c r="K25" s="411"/>
      <c r="L25" s="411"/>
      <c r="M25" s="411"/>
      <c r="N25" s="411"/>
      <c r="O25" s="411"/>
      <c r="P25" s="411"/>
      <c r="Q25" s="411"/>
      <c r="R25" s="25" t="str">
        <f>IF($J20=$A$149,"K2","SG")</f>
        <v>SG</v>
      </c>
      <c r="S25" s="26">
        <f>Y25</f>
        <v>8.0000000000000002E-3</v>
      </c>
      <c r="U25" s="412" t="s">
        <v>189</v>
      </c>
      <c r="V25" s="412"/>
      <c r="W25" s="412"/>
      <c r="X25" s="27">
        <f>VLOOKUP(CONCATENATE(J20,"-",R25),$C$5:$G$139,3,FALSE)</f>
        <v>8.0000000000000002E-3</v>
      </c>
      <c r="Y25" s="27">
        <f>VLOOKUP(CONCATENATE(J20,"-",R25),$C$5:$G$139,4,FALSE)</f>
        <v>8.0000000000000002E-3</v>
      </c>
      <c r="Z25" s="27">
        <f>VLOOKUP(CONCATENATE(J20,"-",R25),$C$5:$G$139,5,FALSE)</f>
        <v>0.01</v>
      </c>
    </row>
    <row r="26" spans="1:26" x14ac:dyDescent="0.25">
      <c r="A26" s="16" t="str">
        <f>A25</f>
        <v>Construção e Manutenção de Estações e Redes de Distribuição de Energia Elétrica</v>
      </c>
      <c r="B26" s="19" t="s">
        <v>169</v>
      </c>
      <c r="C26" s="16" t="str">
        <f t="shared" si="0"/>
        <v>Construção e Manutenção de Estações e Redes de Distribuição de Energia Elétrica-DF</v>
      </c>
      <c r="D26" s="16"/>
      <c r="E26" s="20">
        <v>1.01E-2</v>
      </c>
      <c r="F26" s="20">
        <v>1.0700000000000001E-2</v>
      </c>
      <c r="G26" s="20">
        <v>1.11E-2</v>
      </c>
      <c r="I26" t="s">
        <v>177</v>
      </c>
      <c r="J26" s="411" t="str">
        <f>IF($J$20=$A$149,"","Risco")</f>
        <v>Risco</v>
      </c>
      <c r="K26" s="411"/>
      <c r="L26" s="411"/>
      <c r="M26" s="411"/>
      <c r="N26" s="411"/>
      <c r="O26" s="411"/>
      <c r="P26" s="411"/>
      <c r="Q26" s="411"/>
      <c r="R26" s="25" t="str">
        <f>IF($J20=$A$149,"","R")</f>
        <v>R</v>
      </c>
      <c r="S26" s="26">
        <f>Y26</f>
        <v>1.2699999999999999E-2</v>
      </c>
      <c r="U26" s="412" t="s">
        <v>189</v>
      </c>
      <c r="V26" s="412"/>
      <c r="W26" s="412"/>
      <c r="X26" s="27">
        <f>VLOOKUP(CONCATENATE(J20,"-",R26),$C$5:$G$139,3,FALSE)</f>
        <v>9.7000000000000003E-3</v>
      </c>
      <c r="Y26" s="27">
        <f>VLOOKUP(CONCATENATE(J20,"-",R26),$C$5:$G$139,4,FALSE)</f>
        <v>1.2699999999999999E-2</v>
      </c>
      <c r="Z26" s="27">
        <f>VLOOKUP(CONCATENATE(J20,"-",R26),$C$5:$G$139,5,FALSE)</f>
        <v>1.2699999999999999E-2</v>
      </c>
    </row>
    <row r="27" spans="1:26" x14ac:dyDescent="0.25">
      <c r="A27" s="16" t="str">
        <f>A26</f>
        <v>Construção e Manutenção de Estações e Redes de Distribuição de Energia Elétrica</v>
      </c>
      <c r="B27" s="19" t="s">
        <v>170</v>
      </c>
      <c r="C27" s="16" t="str">
        <f t="shared" si="0"/>
        <v>Construção e Manutenção de Estações e Redes de Distribuição de Energia Elétrica-L</v>
      </c>
      <c r="D27" s="16"/>
      <c r="E27" s="20">
        <v>0.08</v>
      </c>
      <c r="F27" s="20">
        <v>8.3100000000000007E-2</v>
      </c>
      <c r="G27" s="20">
        <v>9.5100000000000004E-2</v>
      </c>
      <c r="I27" t="s">
        <v>177</v>
      </c>
      <c r="J27" s="411" t="str">
        <f>IF($J$20=$A$149,"","Despesas Financeiras")</f>
        <v>Despesas Financeiras</v>
      </c>
      <c r="K27" s="411"/>
      <c r="L27" s="411"/>
      <c r="M27" s="411"/>
      <c r="N27" s="411"/>
      <c r="O27" s="411"/>
      <c r="P27" s="411"/>
      <c r="Q27" s="411"/>
      <c r="R27" s="25" t="str">
        <f>IF($J20=$A$149,"","DF")</f>
        <v>DF</v>
      </c>
      <c r="S27" s="26">
        <f>Y27</f>
        <v>1.23E-2</v>
      </c>
      <c r="U27" s="412" t="s">
        <v>189</v>
      </c>
      <c r="V27" s="412"/>
      <c r="W27" s="412"/>
      <c r="X27" s="27">
        <f>VLOOKUP(CONCATENATE(J20,"-",R27),$C$5:$G$139,3,FALSE)</f>
        <v>5.8999999999999999E-3</v>
      </c>
      <c r="Y27" s="27">
        <f>VLOOKUP(CONCATENATE(J20,"-",R27),$C$5:$G$139,4,FALSE)</f>
        <v>1.23E-2</v>
      </c>
      <c r="Z27" s="27">
        <f>VLOOKUP(CONCATENATE(J20,"-",R27),$C$5:$G$139,5,FALSE)</f>
        <v>1.3899999999999999E-2</v>
      </c>
    </row>
    <row r="28" spans="1:26" x14ac:dyDescent="0.25">
      <c r="A28" s="16" t="str">
        <f>A27</f>
        <v>Construção e Manutenção de Estações e Redes de Distribuição de Energia Elétrica</v>
      </c>
      <c r="B28" s="22" t="s">
        <v>172</v>
      </c>
      <c r="C28" s="16" t="str">
        <f t="shared" si="0"/>
        <v>Construção e Manutenção de Estações e Redes de Distribuição de Energia Elétrica-BDI PAD</v>
      </c>
      <c r="D28" s="16"/>
      <c r="E28" s="20">
        <v>0.24</v>
      </c>
      <c r="F28" s="20">
        <v>0.25840000000000002</v>
      </c>
      <c r="G28" s="20">
        <v>0.27860000000000001</v>
      </c>
      <c r="I28" t="s">
        <v>177</v>
      </c>
      <c r="J28" s="411" t="str">
        <f>IF($J$20=$A$149,"Margem bruta da empresa de consultoria","Lucro")</f>
        <v>Lucro</v>
      </c>
      <c r="K28" s="411"/>
      <c r="L28" s="411"/>
      <c r="M28" s="411"/>
      <c r="N28" s="411"/>
      <c r="O28" s="411"/>
      <c r="P28" s="411"/>
      <c r="Q28" s="411"/>
      <c r="R28" s="25" t="str">
        <f>IF($J20=$A$149,"K3","L")</f>
        <v>L</v>
      </c>
      <c r="S28" s="26">
        <v>6.2E-2</v>
      </c>
      <c r="U28" s="412" t="s">
        <v>189</v>
      </c>
      <c r="V28" s="412"/>
      <c r="W28" s="412"/>
      <c r="X28" s="27">
        <f>VLOOKUP(CONCATENATE(J20,"-",R28),$C$5:$G$139,3,FALSE)</f>
        <v>6.1600000000000002E-2</v>
      </c>
      <c r="Y28" s="27">
        <f>VLOOKUP(CONCATENATE(J20,"-",R28),$C$5:$G$139,4,FALSE)</f>
        <v>7.400000000000001E-2</v>
      </c>
      <c r="Z28" s="27">
        <f>VLOOKUP(CONCATENATE(J20,"-",R28),$C$5:$G$139,5,FALSE)</f>
        <v>8.9600000000000013E-2</v>
      </c>
    </row>
    <row r="29" spans="1:26" x14ac:dyDescent="0.25">
      <c r="A29" s="16" t="s">
        <v>190</v>
      </c>
      <c r="B29" s="19" t="s">
        <v>162</v>
      </c>
      <c r="C29" s="16" t="str">
        <f t="shared" si="0"/>
        <v>Obras Portuárias, Marítimas e Fluviais-AC</v>
      </c>
      <c r="D29" s="16"/>
      <c r="E29" s="20">
        <v>0.04</v>
      </c>
      <c r="F29" s="20">
        <v>5.5199999999999999E-2</v>
      </c>
      <c r="G29" s="20">
        <v>7.85E-2</v>
      </c>
      <c r="I29" t="s">
        <v>177</v>
      </c>
      <c r="J29" s="411" t="s">
        <v>191</v>
      </c>
      <c r="K29" s="411"/>
      <c r="L29" s="411"/>
      <c r="M29" s="411"/>
      <c r="N29" s="411"/>
      <c r="O29" s="411"/>
      <c r="P29" s="411"/>
      <c r="Q29" s="411"/>
      <c r="R29" s="25" t="s">
        <v>192</v>
      </c>
      <c r="S29" s="26">
        <v>3.6499999999999998E-2</v>
      </c>
      <c r="T29" s="44">
        <f>SUM(S24:S29)</f>
        <v>0.17150000000000001</v>
      </c>
      <c r="U29" s="412" t="s">
        <v>189</v>
      </c>
      <c r="V29" s="412"/>
      <c r="W29" s="412"/>
      <c r="X29" s="27">
        <v>3.6499999999999998E-2</v>
      </c>
      <c r="Y29" s="27">
        <v>3.6499999999999998E-2</v>
      </c>
      <c r="Z29" s="27">
        <v>3.6499999999999998E-2</v>
      </c>
    </row>
    <row r="30" spans="1:26" x14ac:dyDescent="0.25">
      <c r="A30" s="16" t="str">
        <f>A29</f>
        <v>Obras Portuárias, Marítimas e Fluviais</v>
      </c>
      <c r="B30" s="19" t="s">
        <v>164</v>
      </c>
      <c r="C30" s="16" t="str">
        <f t="shared" si="0"/>
        <v>Obras Portuárias, Marítimas e Fluviais-SG</v>
      </c>
      <c r="D30" s="16"/>
      <c r="E30" s="20">
        <v>8.1000000000000013E-3</v>
      </c>
      <c r="F30" s="20">
        <v>1.2199999999999999E-2</v>
      </c>
      <c r="G30" s="20">
        <v>1.9900000000000001E-2</v>
      </c>
      <c r="I30" t="s">
        <v>177</v>
      </c>
      <c r="J30" s="411" t="s">
        <v>193</v>
      </c>
      <c r="K30" s="411"/>
      <c r="L30" s="411"/>
      <c r="M30" s="411"/>
      <c r="N30" s="411"/>
      <c r="O30" s="411"/>
      <c r="P30" s="411"/>
      <c r="Q30" s="411"/>
      <c r="R30" s="25" t="s">
        <v>194</v>
      </c>
      <c r="S30" s="27">
        <f ca="1">IF(AND($J20&lt;&gt;$A$148,COUNTA(OFFSET(S23,1,0,6))&gt;0),$R$14*$R$13,0)</f>
        <v>1.6E-2</v>
      </c>
      <c r="T30" s="44">
        <f ca="1">T29+S30</f>
        <v>0.1875</v>
      </c>
      <c r="U30" s="412" t="s">
        <v>189</v>
      </c>
      <c r="V30" s="412"/>
      <c r="W30" s="412"/>
      <c r="X30" s="27">
        <v>0</v>
      </c>
      <c r="Y30" s="27">
        <v>2.5000000000000001E-2</v>
      </c>
      <c r="Z30" s="27">
        <v>0.05</v>
      </c>
    </row>
    <row r="31" spans="1:26" x14ac:dyDescent="0.25">
      <c r="A31" s="16" t="str">
        <f>A30</f>
        <v>Obras Portuárias, Marítimas e Fluviais</v>
      </c>
      <c r="B31" s="19" t="s">
        <v>165</v>
      </c>
      <c r="C31" s="16" t="str">
        <f t="shared" si="0"/>
        <v>Obras Portuárias, Marítimas e Fluviais-R</v>
      </c>
      <c r="D31" s="16"/>
      <c r="E31" s="20">
        <v>1.46E-2</v>
      </c>
      <c r="F31" s="20">
        <v>2.3199999999999998E-2</v>
      </c>
      <c r="G31" s="20">
        <v>3.1600000000000003E-2</v>
      </c>
      <c r="I31" t="s">
        <v>177</v>
      </c>
      <c r="J31" s="411" t="s">
        <v>195</v>
      </c>
      <c r="K31" s="411"/>
      <c r="L31" s="411"/>
      <c r="M31" s="411"/>
      <c r="N31" s="411"/>
      <c r="O31" s="411"/>
      <c r="P31" s="411"/>
      <c r="Q31" s="411"/>
      <c r="R31" s="25" t="s">
        <v>196</v>
      </c>
      <c r="S31" s="27">
        <v>4.4999999999999998E-2</v>
      </c>
      <c r="T31" s="44">
        <f ca="1">T30+S31</f>
        <v>0.23249999999999998</v>
      </c>
      <c r="U31" s="412" t="s">
        <v>189</v>
      </c>
      <c r="V31" s="412"/>
      <c r="W31" s="412"/>
      <c r="X31" s="28">
        <v>0</v>
      </c>
      <c r="Y31" s="28">
        <v>4.4999999999999998E-2</v>
      </c>
      <c r="Z31" s="28">
        <v>4.4999999999999998E-2</v>
      </c>
    </row>
    <row r="32" spans="1:26" ht="28.5" x14ac:dyDescent="0.25">
      <c r="A32" s="16" t="str">
        <f>A31</f>
        <v>Obras Portuárias, Marítimas e Fluviais</v>
      </c>
      <c r="B32" s="19" t="s">
        <v>169</v>
      </c>
      <c r="C32" s="16" t="str">
        <f t="shared" si="0"/>
        <v>Obras Portuárias, Marítimas e Fluviais-DF</v>
      </c>
      <c r="D32" s="16"/>
      <c r="E32" s="20">
        <v>9.3999999999999986E-3</v>
      </c>
      <c r="F32" s="20">
        <v>1.0200000000000001E-2</v>
      </c>
      <c r="G32" s="20">
        <v>1.3300000000000001E-2</v>
      </c>
      <c r="I32" t="s">
        <v>177</v>
      </c>
      <c r="J32" s="411" t="s">
        <v>1135</v>
      </c>
      <c r="K32" s="411"/>
      <c r="L32" s="411"/>
      <c r="M32" s="411"/>
      <c r="N32" s="411"/>
      <c r="O32" s="411"/>
      <c r="P32" s="411"/>
      <c r="Q32" s="411"/>
      <c r="R32" s="29" t="s">
        <v>172</v>
      </c>
      <c r="S32" s="27">
        <f ca="1">IF($J20=$A$148,0,ROUND((((1+S24+S25+S26)*(1+S27)*(1+S28)/(1-(S29+S30)))-1),4))</f>
        <v>0.20349999999999999</v>
      </c>
      <c r="U32" s="406" t="str">
        <f ca="1">IF(OR($J$20=$A$149,$J$20=$A$148,AND(S32&gt;=X32,S32&lt;=Z32)),"OK","FORA DO INTERVALO")</f>
        <v>OK</v>
      </c>
      <c r="V32" s="406"/>
      <c r="W32" s="406"/>
      <c r="X32" s="27">
        <f>IF($J20=$A$148,0,VLOOKUP(CONCATENATE($J20,"-",$R32),$C$5:$G$139,3,FALSE))</f>
        <v>0.2034</v>
      </c>
      <c r="Y32" s="27">
        <f>IF($J20=$A$148,0,VLOOKUP(CONCATENATE($J20,"-",$R32),$C$5:$G$139,4,FALSE))</f>
        <v>0.22120000000000001</v>
      </c>
      <c r="Z32" s="27">
        <f>IF($J20=$A$148,0,VLOOKUP(CONCATENATE($J20,"-",$R32),$C$5:$G$139,5,FALSE))</f>
        <v>0.25</v>
      </c>
    </row>
    <row r="33" spans="1:19" ht="28.5" x14ac:dyDescent="0.25">
      <c r="A33" s="16" t="str">
        <f>A32</f>
        <v>Obras Portuárias, Marítimas e Fluviais</v>
      </c>
      <c r="B33" s="19" t="s">
        <v>170</v>
      </c>
      <c r="C33" s="16" t="str">
        <f t="shared" si="0"/>
        <v>Obras Portuárias, Marítimas e Fluviais-L</v>
      </c>
      <c r="D33" s="16"/>
      <c r="E33" s="20">
        <v>7.1399999999999991E-2</v>
      </c>
      <c r="F33" s="20">
        <v>8.4000000000000005E-2</v>
      </c>
      <c r="G33" s="20">
        <v>0.1043</v>
      </c>
      <c r="I33" t="s">
        <v>177</v>
      </c>
      <c r="J33" s="414" t="s">
        <v>1136</v>
      </c>
      <c r="K33" s="414"/>
      <c r="L33" s="414"/>
      <c r="M33" s="414"/>
      <c r="N33" s="414"/>
      <c r="O33" s="414"/>
      <c r="P33" s="414"/>
      <c r="Q33" s="414"/>
      <c r="R33" s="30" t="s">
        <v>197</v>
      </c>
      <c r="S33" s="31">
        <f ca="1">IF($J20=$A$148,0,ROUND((((1+S24+S25+S26)*(1+S27)*(1+S28)/(1-(S29+S30+S31)))-1),4))</f>
        <v>0.26350000000000001</v>
      </c>
    </row>
    <row r="34" spans="1:19" x14ac:dyDescent="0.25">
      <c r="A34" s="16" t="str">
        <f>A33</f>
        <v>Obras Portuárias, Marítimas e Fluviais</v>
      </c>
      <c r="B34" s="22" t="s">
        <v>172</v>
      </c>
      <c r="C34" s="16" t="str">
        <f t="shared" si="0"/>
        <v>Obras Portuárias, Marítimas e Fluviais-BDI PAD</v>
      </c>
      <c r="D34" s="16"/>
      <c r="E34" s="20">
        <v>0.22800000000000001</v>
      </c>
      <c r="F34" s="20">
        <v>0.27479999999999999</v>
      </c>
      <c r="G34" s="20">
        <v>0.3095</v>
      </c>
      <c r="I34" t="s">
        <v>177</v>
      </c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1:19" ht="15.75" x14ac:dyDescent="0.25">
      <c r="A35" s="16" t="s">
        <v>198</v>
      </c>
      <c r="B35" s="19" t="s">
        <v>162</v>
      </c>
      <c r="C35" s="16" t="str">
        <f t="shared" si="0"/>
        <v>Fornecimento de Materiais e Equipamentos (aquisição indireta - em conjunto com licitação de obras)-AC</v>
      </c>
      <c r="D35" s="16"/>
      <c r="E35" s="20">
        <v>1.4999999999999999E-2</v>
      </c>
      <c r="F35" s="20">
        <v>3.4500000000000003E-2</v>
      </c>
      <c r="G35" s="20">
        <v>4.4900000000000002E-2</v>
      </c>
      <c r="I35" t="s">
        <v>177</v>
      </c>
      <c r="J35" s="32" t="str">
        <f ca="1">IF(U32&lt;&gt;"ok","X","")</f>
        <v/>
      </c>
      <c r="K35" s="415" t="str">
        <f ca="1">IF(U32&lt;&gt;"ok","Anexo: Relatório Técnico Circunstanciado justificando a adoção do percentual de cada parcela do BDI.","")</f>
        <v/>
      </c>
      <c r="L35" s="415"/>
      <c r="M35" s="415"/>
      <c r="N35" s="415"/>
      <c r="O35" s="415"/>
      <c r="P35" s="415"/>
      <c r="Q35" s="415"/>
      <c r="R35" s="415"/>
      <c r="S35" s="415"/>
    </row>
    <row r="36" spans="1:19" x14ac:dyDescent="0.25">
      <c r="A36" s="16" t="str">
        <f>A35</f>
        <v>Fornecimento de Materiais e Equipamentos (aquisição indireta - em conjunto com licitação de obras)</v>
      </c>
      <c r="B36" s="19" t="s">
        <v>164</v>
      </c>
      <c r="C36" s="16" t="str">
        <f t="shared" si="0"/>
        <v>Fornecimento de Materiais e Equipamentos (aquisição indireta - em conjunto com licitação de obras)-SG</v>
      </c>
      <c r="D36" s="16"/>
      <c r="E36" s="20">
        <v>3.0000000000000001E-3</v>
      </c>
      <c r="F36" s="20">
        <v>4.7999999999999996E-3</v>
      </c>
      <c r="G36" s="20">
        <v>8.199999999999999E-3</v>
      </c>
      <c r="I36" t="s">
        <v>177</v>
      </c>
      <c r="J36" s="16"/>
      <c r="K36" s="16"/>
      <c r="L36" s="16"/>
      <c r="M36" s="16"/>
      <c r="N36" s="16"/>
      <c r="O36" s="16"/>
      <c r="P36" s="16"/>
      <c r="Q36" s="16"/>
      <c r="R36" s="16"/>
      <c r="S36" s="16"/>
    </row>
    <row r="37" spans="1:19" x14ac:dyDescent="0.25">
      <c r="A37" s="16" t="str">
        <f>A36</f>
        <v>Fornecimento de Materiais e Equipamentos (aquisição indireta - em conjunto com licitação de obras)</v>
      </c>
      <c r="B37" s="19" t="s">
        <v>165</v>
      </c>
      <c r="C37" s="16" t="str">
        <f t="shared" si="0"/>
        <v>Fornecimento de Materiais e Equipamentos (aquisição indireta - em conjunto com licitação de obras)-R</v>
      </c>
      <c r="D37" s="16"/>
      <c r="E37" s="20">
        <v>5.6000000000000008E-3</v>
      </c>
      <c r="F37" s="20">
        <v>8.5000000000000006E-3</v>
      </c>
      <c r="G37" s="20">
        <v>8.8999999999999999E-3</v>
      </c>
      <c r="I37" t="s">
        <v>177</v>
      </c>
      <c r="J37" s="416" t="s">
        <v>199</v>
      </c>
      <c r="K37" s="416"/>
      <c r="L37" s="416"/>
      <c r="M37" s="416"/>
      <c r="N37" s="416"/>
      <c r="O37" s="416"/>
      <c r="P37" s="416"/>
      <c r="Q37" s="416"/>
      <c r="R37" s="416"/>
      <c r="S37" s="416"/>
    </row>
    <row r="38" spans="1:19" ht="15.75" x14ac:dyDescent="0.25">
      <c r="A38" s="16" t="str">
        <f>A37</f>
        <v>Fornecimento de Materiais e Equipamentos (aquisição indireta - em conjunto com licitação de obras)</v>
      </c>
      <c r="B38" s="19" t="s">
        <v>169</v>
      </c>
      <c r="C38" s="16" t="str">
        <f t="shared" si="0"/>
        <v>Fornecimento de Materiais e Equipamentos (aquisição indireta - em conjunto com licitação de obras)-DF</v>
      </c>
      <c r="D38" s="16"/>
      <c r="E38" s="20">
        <v>8.5000000000000006E-3</v>
      </c>
      <c r="F38" s="20">
        <v>8.5000000000000006E-3</v>
      </c>
      <c r="G38" s="20">
        <v>1.11E-2</v>
      </c>
      <c r="I38" t="s">
        <v>177</v>
      </c>
      <c r="J38" s="33"/>
      <c r="K38" s="33"/>
      <c r="L38" s="33"/>
      <c r="M38" s="417" t="s">
        <v>200</v>
      </c>
      <c r="N38" s="418" t="str">
        <f>IF($J20=$A$149,"(1+K1+K2)*(1+K3)","(1+AC + S + R + G)*(1 + DF)*(1+L)")</f>
        <v>(1+AC + S + R + G)*(1 + DF)*(1+L)</v>
      </c>
      <c r="O38" s="418"/>
      <c r="P38" s="418"/>
      <c r="Q38" s="419" t="s">
        <v>201</v>
      </c>
      <c r="R38" s="33"/>
      <c r="S38" s="33"/>
    </row>
    <row r="39" spans="1:19" ht="15.75" x14ac:dyDescent="0.25">
      <c r="A39" s="16" t="str">
        <f>A38</f>
        <v>Fornecimento de Materiais e Equipamentos (aquisição indireta - em conjunto com licitação de obras)</v>
      </c>
      <c r="B39" s="19" t="s">
        <v>170</v>
      </c>
      <c r="C39" s="16" t="str">
        <f t="shared" si="0"/>
        <v>Fornecimento de Materiais e Equipamentos (aquisição indireta - em conjunto com licitação de obras)-L</v>
      </c>
      <c r="D39" s="16"/>
      <c r="E39" s="20">
        <v>3.5000000000000003E-2</v>
      </c>
      <c r="F39" s="20">
        <v>5.1100000000000007E-2</v>
      </c>
      <c r="G39" s="20">
        <v>6.2199999999999998E-2</v>
      </c>
      <c r="I39" t="s">
        <v>177</v>
      </c>
      <c r="J39" s="33"/>
      <c r="K39" s="33"/>
      <c r="L39" s="33"/>
      <c r="M39" s="417"/>
      <c r="N39" s="420" t="s">
        <v>202</v>
      </c>
      <c r="O39" s="420"/>
      <c r="P39" s="420"/>
      <c r="Q39" s="419"/>
      <c r="R39" s="33"/>
      <c r="S39" s="33"/>
    </row>
    <row r="40" spans="1:19" x14ac:dyDescent="0.25">
      <c r="A40" s="16" t="str">
        <f>A39</f>
        <v>Fornecimento de Materiais e Equipamentos (aquisição indireta - em conjunto com licitação de obras)</v>
      </c>
      <c r="B40" s="22" t="s">
        <v>172</v>
      </c>
      <c r="C40" s="16" t="str">
        <f t="shared" si="0"/>
        <v>Fornecimento de Materiais e Equipamentos (aquisição indireta - em conjunto com licitação de obras)-BDI PAD</v>
      </c>
      <c r="D40" s="16"/>
      <c r="E40" s="20">
        <v>0.111</v>
      </c>
      <c r="F40" s="20">
        <v>0.14019999999999999</v>
      </c>
      <c r="G40" s="20">
        <v>0.16800000000000001</v>
      </c>
      <c r="I40" t="s">
        <v>177</v>
      </c>
      <c r="J40" s="34"/>
      <c r="K40" s="34"/>
      <c r="L40" s="34"/>
      <c r="M40" s="34"/>
      <c r="N40" s="34"/>
      <c r="O40" s="34"/>
      <c r="P40" s="34"/>
      <c r="Q40" s="34"/>
      <c r="R40" s="34"/>
      <c r="S40" s="34"/>
    </row>
    <row r="41" spans="1:19" ht="23.25" customHeight="1" x14ac:dyDescent="0.25">
      <c r="A41" s="16" t="s">
        <v>203</v>
      </c>
      <c r="B41" s="22" t="s">
        <v>162</v>
      </c>
      <c r="C41" s="16" t="str">
        <f t="shared" si="0"/>
        <v>Fornecimento de Materiais e Equipamentos (aquisição direta)-AC</v>
      </c>
      <c r="D41" s="16"/>
      <c r="E41" s="20" t="s">
        <v>189</v>
      </c>
      <c r="F41" s="20" t="s">
        <v>189</v>
      </c>
      <c r="G41" s="20" t="s">
        <v>189</v>
      </c>
      <c r="I41" t="s">
        <v>177</v>
      </c>
      <c r="J41" s="413" t="str">
        <f>CONCATENATE("Declaro para os devidos fins que, conforme legislação tributária municipal, a base de cálculo deste tipo de obra corresponde à ",$R$13*100,"%, com a respectiva alíquota de ",$R$14*100,"%.")</f>
        <v>Declaro para os devidos fins que, conforme legislação tributária municipal, a base de cálculo deste tipo de obra corresponde à 40%, com a respectiva alíquota de 4%.</v>
      </c>
      <c r="K41" s="413"/>
      <c r="L41" s="413"/>
      <c r="M41" s="413"/>
      <c r="N41" s="413"/>
      <c r="O41" s="413"/>
      <c r="P41" s="413"/>
      <c r="Q41" s="413"/>
      <c r="R41" s="413"/>
      <c r="S41" s="413"/>
    </row>
    <row r="42" spans="1:19" x14ac:dyDescent="0.25">
      <c r="A42" s="16" t="s">
        <v>203</v>
      </c>
      <c r="B42" s="22" t="s">
        <v>164</v>
      </c>
      <c r="C42" s="16" t="str">
        <f t="shared" si="0"/>
        <v>Fornecimento de Materiais e Equipamentos (aquisição direta)-SG</v>
      </c>
      <c r="D42" s="16"/>
      <c r="E42" s="20" t="s">
        <v>189</v>
      </c>
      <c r="F42" s="20" t="s">
        <v>189</v>
      </c>
      <c r="G42" s="20" t="s">
        <v>189</v>
      </c>
      <c r="I42" t="s">
        <v>177</v>
      </c>
      <c r="J42" s="16"/>
      <c r="K42" s="16"/>
      <c r="L42" s="16"/>
      <c r="M42" s="16"/>
      <c r="N42" s="16"/>
      <c r="O42" s="16"/>
      <c r="P42" s="16"/>
      <c r="Q42" s="16"/>
      <c r="R42" s="16"/>
      <c r="S42" s="16"/>
    </row>
    <row r="43" spans="1:19" ht="16.5" customHeight="1" x14ac:dyDescent="0.25">
      <c r="A43" s="16" t="s">
        <v>203</v>
      </c>
      <c r="B43" s="22" t="s">
        <v>165</v>
      </c>
      <c r="C43" s="16" t="str">
        <f t="shared" si="0"/>
        <v>Fornecimento de Materiais e Equipamentos (aquisição direta)-R</v>
      </c>
      <c r="D43" s="16"/>
      <c r="E43" s="20" t="s">
        <v>189</v>
      </c>
      <c r="F43" s="20" t="s">
        <v>189</v>
      </c>
      <c r="G43" s="20" t="s">
        <v>189</v>
      </c>
      <c r="I43" t="s">
        <v>177</v>
      </c>
      <c r="J43" s="413"/>
      <c r="K43" s="413"/>
      <c r="L43" s="413"/>
      <c r="M43" s="413"/>
      <c r="N43" s="413"/>
      <c r="O43" s="413"/>
      <c r="P43" s="413"/>
      <c r="Q43" s="413"/>
      <c r="R43" s="413"/>
      <c r="S43" s="413"/>
    </row>
    <row r="44" spans="1:19" x14ac:dyDescent="0.25">
      <c r="A44" s="16" t="s">
        <v>203</v>
      </c>
      <c r="B44" s="22" t="s">
        <v>169</v>
      </c>
      <c r="C44" s="16" t="str">
        <f t="shared" si="0"/>
        <v>Fornecimento de Materiais e Equipamentos (aquisição direta)-DF</v>
      </c>
      <c r="D44" s="16"/>
      <c r="E44" s="20" t="s">
        <v>189</v>
      </c>
      <c r="F44" s="20" t="s">
        <v>189</v>
      </c>
      <c r="G44" s="20" t="s">
        <v>189</v>
      </c>
      <c r="I44" t="s">
        <v>177</v>
      </c>
      <c r="J44" s="16"/>
      <c r="K44" s="16"/>
      <c r="L44" s="16"/>
      <c r="M44" s="16"/>
      <c r="N44" s="16"/>
      <c r="O44" s="16"/>
      <c r="P44" s="16"/>
      <c r="Q44" s="16"/>
      <c r="R44" s="16"/>
      <c r="S44" s="16"/>
    </row>
    <row r="45" spans="1:19" x14ac:dyDescent="0.25">
      <c r="A45" s="16" t="s">
        <v>203</v>
      </c>
      <c r="B45" s="22" t="s">
        <v>170</v>
      </c>
      <c r="C45" s="16" t="str">
        <f t="shared" si="0"/>
        <v>Fornecimento de Materiais e Equipamentos (aquisição direta)-L</v>
      </c>
      <c r="D45" s="16"/>
      <c r="E45" s="20" t="s">
        <v>189</v>
      </c>
      <c r="F45" s="20" t="s">
        <v>189</v>
      </c>
      <c r="G45" s="20" t="s">
        <v>189</v>
      </c>
      <c r="I45" t="s">
        <v>177</v>
      </c>
      <c r="J45" s="16" t="s">
        <v>204</v>
      </c>
      <c r="K45" s="16"/>
      <c r="L45" s="16"/>
      <c r="M45" s="16"/>
      <c r="N45" s="16"/>
      <c r="O45" s="16"/>
      <c r="P45" s="16"/>
      <c r="Q45" s="16"/>
      <c r="R45" s="16"/>
      <c r="S45" s="16"/>
    </row>
    <row r="46" spans="1:19" x14ac:dyDescent="0.25">
      <c r="A46" s="16" t="s">
        <v>203</v>
      </c>
      <c r="B46" s="22" t="s">
        <v>172</v>
      </c>
      <c r="C46" s="16" t="str">
        <f t="shared" si="0"/>
        <v>Fornecimento de Materiais e Equipamentos (aquisição direta)-BDI PAD</v>
      </c>
      <c r="D46" s="16"/>
      <c r="E46" s="20" t="s">
        <v>189</v>
      </c>
      <c r="F46" s="20" t="s">
        <v>189</v>
      </c>
      <c r="G46" s="20" t="s">
        <v>189</v>
      </c>
      <c r="I46" t="s">
        <v>177</v>
      </c>
      <c r="J46" s="422"/>
      <c r="K46" s="422"/>
      <c r="L46" s="422"/>
      <c r="M46" s="422"/>
      <c r="N46" s="422"/>
      <c r="O46" s="422"/>
      <c r="P46" s="422"/>
      <c r="Q46" s="422"/>
      <c r="R46" s="422"/>
      <c r="S46" s="422"/>
    </row>
    <row r="47" spans="1:19" x14ac:dyDescent="0.25">
      <c r="A47" s="16" t="s">
        <v>205</v>
      </c>
      <c r="B47" s="19" t="s">
        <v>206</v>
      </c>
      <c r="C47" s="16" t="str">
        <f t="shared" si="0"/>
        <v>Estudos e Projetos, Planos e Gerenciamento e outros correlatos-K1</v>
      </c>
      <c r="D47" s="16"/>
      <c r="E47" s="20" t="s">
        <v>189</v>
      </c>
      <c r="F47" s="20" t="s">
        <v>189</v>
      </c>
      <c r="G47" s="20" t="s">
        <v>189</v>
      </c>
      <c r="I47" t="s">
        <v>177</v>
      </c>
      <c r="J47" s="16"/>
      <c r="K47" s="16"/>
      <c r="L47" s="16"/>
      <c r="M47" s="16"/>
      <c r="N47" s="16"/>
      <c r="O47" s="16"/>
      <c r="P47" s="16"/>
      <c r="Q47" s="16"/>
      <c r="R47" s="16"/>
      <c r="S47" s="16"/>
    </row>
    <row r="48" spans="1:19" x14ac:dyDescent="0.25">
      <c r="A48" s="16" t="str">
        <f>A47</f>
        <v>Estudos e Projetos, Planos e Gerenciamento e outros correlatos</v>
      </c>
      <c r="B48" s="19" t="s">
        <v>207</v>
      </c>
      <c r="C48" s="16" t="str">
        <f t="shared" si="0"/>
        <v>Estudos e Projetos, Planos e Gerenciamento e outros correlatos-K2</v>
      </c>
      <c r="D48" s="16"/>
      <c r="E48" s="20" t="s">
        <v>189</v>
      </c>
      <c r="F48" s="20">
        <v>0.2</v>
      </c>
      <c r="G48" s="20" t="s">
        <v>189</v>
      </c>
      <c r="I48" t="s">
        <v>177</v>
      </c>
      <c r="J48" s="423" t="s">
        <v>957</v>
      </c>
      <c r="K48" s="423"/>
      <c r="L48" s="423"/>
      <c r="M48" s="423"/>
      <c r="N48" s="16"/>
      <c r="O48" s="16"/>
      <c r="P48" s="424" t="s">
        <v>958</v>
      </c>
      <c r="Q48" s="424"/>
      <c r="R48" s="424"/>
      <c r="S48" s="424"/>
    </row>
    <row r="49" spans="1:19" x14ac:dyDescent="0.25">
      <c r="A49" s="16" t="str">
        <f>A48</f>
        <v>Estudos e Projetos, Planos e Gerenciamento e outros correlatos</v>
      </c>
      <c r="B49" s="19"/>
      <c r="C49" s="16" t="str">
        <f t="shared" si="0"/>
        <v>Estudos e Projetos, Planos e Gerenciamento e outros correlatos-</v>
      </c>
      <c r="D49" s="16"/>
      <c r="E49" s="20" t="s">
        <v>189</v>
      </c>
      <c r="F49" s="20" t="s">
        <v>189</v>
      </c>
      <c r="G49" s="20" t="s">
        <v>189</v>
      </c>
      <c r="I49" t="s">
        <v>177</v>
      </c>
      <c r="J49" s="425" t="s">
        <v>208</v>
      </c>
      <c r="K49" s="425"/>
      <c r="L49" s="425"/>
      <c r="M49" s="425"/>
      <c r="N49" s="16"/>
      <c r="O49" s="35"/>
      <c r="P49" s="36" t="s">
        <v>209</v>
      </c>
      <c r="Q49" s="37"/>
      <c r="R49" s="37"/>
      <c r="S49" s="37"/>
    </row>
    <row r="50" spans="1:19" x14ac:dyDescent="0.25">
      <c r="A50" s="16" t="str">
        <f>A49</f>
        <v>Estudos e Projetos, Planos e Gerenciamento e outros correlatos</v>
      </c>
      <c r="B50" s="19"/>
      <c r="C50" s="16" t="str">
        <f t="shared" si="0"/>
        <v>Estudos e Projetos, Planos e Gerenciamento e outros correlatos-</v>
      </c>
      <c r="D50" s="16"/>
      <c r="E50" s="20" t="s">
        <v>189</v>
      </c>
      <c r="F50" s="20" t="s">
        <v>189</v>
      </c>
      <c r="G50" s="20" t="s">
        <v>189</v>
      </c>
      <c r="I50" t="s">
        <v>177</v>
      </c>
      <c r="J50" s="16"/>
      <c r="K50" s="16"/>
      <c r="L50" s="16"/>
      <c r="M50" s="16"/>
      <c r="N50" s="16"/>
      <c r="O50" s="16"/>
      <c r="P50" s="16"/>
      <c r="Q50" s="16"/>
      <c r="R50" s="16"/>
      <c r="S50" s="16"/>
    </row>
    <row r="51" spans="1:19" x14ac:dyDescent="0.25">
      <c r="A51" s="16" t="str">
        <f>A50</f>
        <v>Estudos e Projetos, Planos e Gerenciamento e outros correlatos</v>
      </c>
      <c r="B51" s="19" t="s">
        <v>210</v>
      </c>
      <c r="C51" s="16" t="str">
        <f t="shared" si="0"/>
        <v>Estudos e Projetos, Planos e Gerenciamento e outros correlatos-K3</v>
      </c>
      <c r="D51" s="16"/>
      <c r="E51" s="20" t="s">
        <v>189</v>
      </c>
      <c r="F51" s="20">
        <v>0.12</v>
      </c>
      <c r="G51" s="20" t="s">
        <v>189</v>
      </c>
      <c r="I51" t="s">
        <v>177</v>
      </c>
      <c r="J51" s="426"/>
      <c r="K51" s="426"/>
      <c r="L51" s="426"/>
      <c r="M51" s="426"/>
      <c r="N51" s="38"/>
      <c r="O51" s="16"/>
      <c r="P51" s="16"/>
      <c r="Q51" s="16"/>
      <c r="R51" s="16"/>
      <c r="S51" s="16"/>
    </row>
    <row r="52" spans="1:19" x14ac:dyDescent="0.25">
      <c r="A52" s="16" t="str">
        <f>A51</f>
        <v>Estudos e Projetos, Planos e Gerenciamento e outros correlatos</v>
      </c>
      <c r="B52" s="22" t="s">
        <v>172</v>
      </c>
      <c r="C52" s="16" t="str">
        <f t="shared" si="0"/>
        <v>Estudos e Projetos, Planos e Gerenciamento e outros correlatos-BDI PAD</v>
      </c>
      <c r="D52" s="16"/>
      <c r="E52" s="20" t="s">
        <v>189</v>
      </c>
      <c r="F52" s="20" t="s">
        <v>189</v>
      </c>
      <c r="G52" s="20" t="s">
        <v>189</v>
      </c>
      <c r="I52" t="s">
        <v>177</v>
      </c>
      <c r="J52" s="421" t="s">
        <v>211</v>
      </c>
      <c r="K52" s="421"/>
      <c r="L52" s="421"/>
      <c r="M52" s="421"/>
      <c r="N52" s="16"/>
      <c r="O52" s="16"/>
      <c r="P52" s="16"/>
      <c r="Q52" s="16"/>
      <c r="R52" s="16"/>
      <c r="S52" s="16"/>
    </row>
    <row r="53" spans="1:19" x14ac:dyDescent="0.25">
      <c r="A53" s="16"/>
      <c r="B53" s="22"/>
      <c r="C53" s="16"/>
      <c r="D53" s="16"/>
      <c r="E53" s="20"/>
      <c r="F53" s="20"/>
      <c r="G53" s="20"/>
      <c r="I53" t="s">
        <v>177</v>
      </c>
      <c r="J53" s="39" t="s">
        <v>212</v>
      </c>
      <c r="K53" s="40"/>
      <c r="L53" s="41"/>
      <c r="M53" s="41"/>
      <c r="N53" s="38"/>
      <c r="O53" s="16"/>
      <c r="P53" s="16"/>
      <c r="Q53" s="16"/>
      <c r="R53" s="16"/>
      <c r="S53" s="16"/>
    </row>
    <row r="54" spans="1:19" x14ac:dyDescent="0.25">
      <c r="I54" t="s">
        <v>177</v>
      </c>
      <c r="J54" s="39" t="s">
        <v>213</v>
      </c>
      <c r="K54" s="40"/>
      <c r="L54" s="41"/>
      <c r="M54" s="41"/>
      <c r="N54" s="38"/>
      <c r="O54" s="16"/>
      <c r="P54" s="16"/>
      <c r="Q54" s="16"/>
      <c r="R54" s="16"/>
      <c r="S54" s="16"/>
    </row>
    <row r="55" spans="1:19" x14ac:dyDescent="0.25">
      <c r="I55" t="s">
        <v>177</v>
      </c>
      <c r="J55" s="39" t="s">
        <v>214</v>
      </c>
      <c r="K55" s="40"/>
      <c r="L55" s="41"/>
      <c r="M55" s="41"/>
      <c r="N55" s="38"/>
      <c r="O55" s="16"/>
      <c r="P55" s="16"/>
      <c r="Q55" s="16"/>
      <c r="R55" s="16"/>
      <c r="S55" s="16"/>
    </row>
    <row r="56" spans="1:19" x14ac:dyDescent="0.25">
      <c r="I56" t="s">
        <v>177</v>
      </c>
      <c r="J56" s="39"/>
      <c r="K56" s="42"/>
      <c r="L56" s="41"/>
      <c r="M56" s="41"/>
      <c r="N56" s="38"/>
      <c r="O56" s="16"/>
      <c r="P56" s="16"/>
      <c r="Q56" s="16"/>
      <c r="R56" s="16"/>
      <c r="S56" s="16"/>
    </row>
  </sheetData>
  <sheetProtection password="CB05" sheet="1" objects="1" scenarios="1"/>
  <mergeCells count="58">
    <mergeCell ref="J52:M52"/>
    <mergeCell ref="J43:S43"/>
    <mergeCell ref="J46:S46"/>
    <mergeCell ref="J48:M48"/>
    <mergeCell ref="P48:S48"/>
    <mergeCell ref="J49:M49"/>
    <mergeCell ref="J51:M51"/>
    <mergeCell ref="J29:Q29"/>
    <mergeCell ref="U29:W29"/>
    <mergeCell ref="J30:Q30"/>
    <mergeCell ref="U30:W30"/>
    <mergeCell ref="J41:S41"/>
    <mergeCell ref="J31:Q31"/>
    <mergeCell ref="U31:W31"/>
    <mergeCell ref="J32:Q32"/>
    <mergeCell ref="U32:W32"/>
    <mergeCell ref="J33:Q33"/>
    <mergeCell ref="K35:S35"/>
    <mergeCell ref="J37:S37"/>
    <mergeCell ref="M38:M39"/>
    <mergeCell ref="N38:P38"/>
    <mergeCell ref="Q38:Q39"/>
    <mergeCell ref="N39:P39"/>
    <mergeCell ref="J26:Q26"/>
    <mergeCell ref="U26:W26"/>
    <mergeCell ref="J27:Q27"/>
    <mergeCell ref="U27:W27"/>
    <mergeCell ref="J28:Q28"/>
    <mergeCell ref="U28:W28"/>
    <mergeCell ref="Z22:Z23"/>
    <mergeCell ref="J24:Q24"/>
    <mergeCell ref="U24:W24"/>
    <mergeCell ref="J25:Q25"/>
    <mergeCell ref="U25:W25"/>
    <mergeCell ref="J14:Q14"/>
    <mergeCell ref="R14:S14"/>
    <mergeCell ref="U22:W23"/>
    <mergeCell ref="X22:X23"/>
    <mergeCell ref="Y22:Y23"/>
    <mergeCell ref="J17:S17"/>
    <mergeCell ref="J19:S19"/>
    <mergeCell ref="J20:S20"/>
    <mergeCell ref="J22:Q23"/>
    <mergeCell ref="R22:R23"/>
    <mergeCell ref="S22:S23"/>
    <mergeCell ref="R4:S4"/>
    <mergeCell ref="R5:S5"/>
    <mergeCell ref="J7:K7"/>
    <mergeCell ref="L7:M7"/>
    <mergeCell ref="N7:S7"/>
    <mergeCell ref="J8:K8"/>
    <mergeCell ref="L8:M8"/>
    <mergeCell ref="N8:S8"/>
    <mergeCell ref="I9:I13"/>
    <mergeCell ref="J10:S10"/>
    <mergeCell ref="J11:S11"/>
    <mergeCell ref="J13:Q13"/>
    <mergeCell ref="R13:S13"/>
  </mergeCells>
  <conditionalFormatting sqref="J33:S33">
    <cfRule type="expression" dxfId="3" priority="1" stopIfTrue="1">
      <formula>DESONERACAO="não"</formula>
    </cfRule>
  </conditionalFormatting>
  <conditionalFormatting sqref="U32:W32">
    <cfRule type="expression" dxfId="2" priority="2" stopIfTrue="1">
      <formula>AND(U32&lt;&gt;"OK",U32&lt;&gt;"-",U32&lt;&gt;"")</formula>
    </cfRule>
    <cfRule type="cellIs" dxfId="1" priority="3" stopIfTrue="1" operator="equal">
      <formula>"OK"</formula>
    </cfRule>
  </conditionalFormatting>
  <conditionalFormatting sqref="S32">
    <cfRule type="expression" dxfId="0" priority="4" stopIfTrue="1">
      <formula>DESONERACAO="não"</formula>
    </cfRule>
  </conditionalFormatting>
  <dataValidations disablePrompts="1" count="6">
    <dataValidation type="list" allowBlank="1" showErrorMessage="1" sqref="J20:S20">
      <formula1>BDI.TipoObra</formula1>
      <formula2>0</formula2>
    </dataValidation>
    <dataValidation type="decimal" allowBlank="1" showInputMessage="1" showErrorMessage="1" errorTitle="Valor não permitido" error="Digite um percentual entre 0% e 100%." promptTitle="Valores admissíveis:" prompt="Insira valores entre 0 e 100%." sqref="R13:S13">
      <formula1>0</formula1>
      <formula2>1</formula2>
    </dataValidation>
    <dataValidation type="decimal" operator="greaterThanOrEqual" allowBlank="1" showInputMessage="1" showErrorMessage="1" errorTitle="Valor não permitido" error="Digite um percentual entre 0% e 100%." promptTitle="Valores comuns:" prompt="Normalmente entre 2 e 5%." sqref="R14:S14">
      <formula1>0</formula1>
      <formula2>0</formula2>
    </dataValidation>
    <dataValidation operator="greaterThanOrEqual" allowBlank="1" showErrorMessage="1" errorTitle="Erro de valores" error="Digite um valor igual a 0% ou 2%." sqref="S31">
      <formula1>0</formula1>
      <formula2>0</formula2>
    </dataValidation>
    <dataValidation type="decimal" allowBlank="1" showErrorMessage="1" errorTitle="Erro de valores" error="Digite um valor maior do que 0." sqref="S30">
      <formula1>0</formula1>
      <formula2>1</formula2>
    </dataValidation>
    <dataValidation type="decimal" allowBlank="1" showErrorMessage="1" errorTitle="Erro de valores" error="Digite um valor entre 0% e 100%" sqref="S24:S29">
      <formula1>0</formula1>
      <formula2>1</formula2>
    </dataValidation>
  </dataValidations>
  <pageMargins left="1.1023622047244095" right="0.51181102362204722" top="0.59055118110236227" bottom="0.59055118110236227" header="0.31496062992125984" footer="0.31496062992125984"/>
  <pageSetup paperSize="9" scale="85" orientation="portrait" horizontalDpi="4294967293" verticalDpi="12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10" zoomScale="115" zoomScaleNormal="115" workbookViewId="0">
      <selection activeCell="F35" sqref="F35"/>
    </sheetView>
  </sheetViews>
  <sheetFormatPr defaultRowHeight="15" x14ac:dyDescent="0.25"/>
  <cols>
    <col min="1" max="1" width="76.7109375" customWidth="1"/>
    <col min="2" max="2" width="10.42578125" customWidth="1"/>
    <col min="3" max="3" width="18.85546875" customWidth="1"/>
    <col min="4" max="4" width="22.140625" customWidth="1"/>
    <col min="6" max="6" width="32.28515625" customWidth="1"/>
    <col min="9" max="9" width="21.85546875" customWidth="1"/>
  </cols>
  <sheetData>
    <row r="1" spans="1:10" ht="45.75" customHeight="1" x14ac:dyDescent="0.25">
      <c r="A1" s="427"/>
      <c r="B1" s="427"/>
      <c r="C1" s="427"/>
      <c r="D1" s="427"/>
    </row>
    <row r="2" spans="1:10" ht="9.75" customHeight="1" x14ac:dyDescent="0.25">
      <c r="A2" s="428" t="s">
        <v>956</v>
      </c>
      <c r="B2" s="429"/>
      <c r="C2" s="429"/>
      <c r="D2" s="429"/>
    </row>
    <row r="3" spans="1:10" ht="8.25" customHeight="1" x14ac:dyDescent="0.25"/>
    <row r="4" spans="1:10" x14ac:dyDescent="0.25">
      <c r="A4" t="str">
        <f>Orçamento!A4</f>
        <v>OBRA : UNIFACEF - CONSTRUÇÃO DE AMBULATÓRIO ESCOLA E OUTROS - FRANCA - SP</v>
      </c>
    </row>
    <row r="5" spans="1:10" x14ac:dyDescent="0.25">
      <c r="A5" t="str">
        <f>Orçamento!A5</f>
        <v>PROPRIETÁRIO : PREFEITURA MUNICIPAL DE FRANCA</v>
      </c>
    </row>
    <row r="6" spans="1:10" x14ac:dyDescent="0.25">
      <c r="A6" t="str">
        <f>Orçamento!A6</f>
        <v>ENDERÇO :     RUA VICENTE GRAMANI ESQUINA COM A RUA PROF.ª AMÁLIA PIMENTEL</v>
      </c>
    </row>
    <row r="7" spans="1:10" x14ac:dyDescent="0.25">
      <c r="A7" t="str">
        <f>Orçamento!A7</f>
        <v>DATA : 05/12/2023</v>
      </c>
    </row>
    <row r="8" spans="1:10" ht="10.5" customHeight="1" x14ac:dyDescent="0.25"/>
    <row r="9" spans="1:10" x14ac:dyDescent="0.25">
      <c r="A9" s="67" t="s">
        <v>215</v>
      </c>
      <c r="B9" s="66" t="s">
        <v>216</v>
      </c>
      <c r="C9" s="66" t="s">
        <v>217</v>
      </c>
      <c r="D9" s="66" t="s">
        <v>218</v>
      </c>
      <c r="F9" s="43"/>
    </row>
    <row r="10" spans="1:10" x14ac:dyDescent="0.25">
      <c r="A10" s="58" t="str">
        <f>Orçamento!A16</f>
        <v>01.00.00 - SERVIÇOS PRELIMINARES - SUBTOTAL</v>
      </c>
      <c r="B10" s="62">
        <f>C10/C32</f>
        <v>9.4128695708036865E-5</v>
      </c>
      <c r="C10" s="45">
        <f>Orçamento!H16</f>
        <v>1055.5419999999999</v>
      </c>
      <c r="D10" s="45">
        <f ca="1">C10*BDI!S$33+C10</f>
        <v>1333.6773169999999</v>
      </c>
      <c r="F10" s="43"/>
      <c r="J10" s="44"/>
    </row>
    <row r="11" spans="1:10" x14ac:dyDescent="0.25">
      <c r="A11" s="59" t="str">
        <f>Orçamento!A22</f>
        <v>02.00.00 - CANTEIRO DE OBRAS- SUBTOTAL</v>
      </c>
      <c r="B11" s="62">
        <f>C11/C32</f>
        <v>2.8308210345505832E-3</v>
      </c>
      <c r="C11" s="45">
        <f>Orçamento!H22</f>
        <v>31744.309999999998</v>
      </c>
      <c r="D11" s="45">
        <f ca="1">C11*BDI!S$33+C11</f>
        <v>40108.935684999997</v>
      </c>
      <c r="F11" s="43"/>
      <c r="J11" s="44"/>
    </row>
    <row r="12" spans="1:10" x14ac:dyDescent="0.25">
      <c r="A12" s="59" t="str">
        <f>Orçamento!A28</f>
        <v>03.00.00 - MOVIMENTO DE TERRA</v>
      </c>
      <c r="B12" s="62">
        <f>C12/C32</f>
        <v>8.0532900860028902E-4</v>
      </c>
      <c r="C12" s="45">
        <f>Orçamento!H28</f>
        <v>9030.8124000000007</v>
      </c>
      <c r="D12" s="45">
        <f ca="1">C12*BDI!S$33+C12</f>
        <v>11410.431467400002</v>
      </c>
      <c r="F12" s="43"/>
      <c r="J12" s="44"/>
    </row>
    <row r="13" spans="1:10" x14ac:dyDescent="0.25">
      <c r="A13" s="59" t="str">
        <f>Orçamento!A66</f>
        <v>04.00.00 - FUNDAÇÕES - SUBTOTAL</v>
      </c>
      <c r="B13" s="62">
        <f>C13/C32</f>
        <v>6.9025728761311675E-2</v>
      </c>
      <c r="C13" s="45">
        <f>Orçamento!H66</f>
        <v>774041.91399999999</v>
      </c>
      <c r="D13" s="45">
        <f ca="1">C13*BDI!S$33+C13</f>
        <v>978001.958339</v>
      </c>
      <c r="F13" s="43"/>
      <c r="J13" s="44"/>
    </row>
    <row r="14" spans="1:10" x14ac:dyDescent="0.25">
      <c r="A14" s="59" t="str">
        <f>Orçamento!A106</f>
        <v>05.00.00 - ESTRUTURA DE CONCRETO- SUBTOTAL</v>
      </c>
      <c r="B14" s="62">
        <f>C14/C32</f>
        <v>0.19939118003853704</v>
      </c>
      <c r="C14" s="45">
        <f>Orçamento!H106</f>
        <v>2235936.2718999996</v>
      </c>
      <c r="D14" s="45">
        <f ca="1">C14*BDI!S$33+C14</f>
        <v>2825105.4795456496</v>
      </c>
      <c r="F14" s="43"/>
      <c r="J14" s="44"/>
    </row>
    <row r="15" spans="1:10" x14ac:dyDescent="0.25">
      <c r="A15" s="59" t="s">
        <v>953</v>
      </c>
      <c r="B15" s="62">
        <f>C15/C32</f>
        <v>0.19558092090826365</v>
      </c>
      <c r="C15" s="45">
        <f>Orçamento!H114</f>
        <v>2193208.7220000001</v>
      </c>
      <c r="D15" s="45">
        <f ca="1">C15*BDI!S$33+C15</f>
        <v>2771119.220247</v>
      </c>
      <c r="F15" s="43"/>
      <c r="J15" s="44"/>
    </row>
    <row r="16" spans="1:10" x14ac:dyDescent="0.25">
      <c r="A16" s="59" t="str">
        <f>Orçamento!A126</f>
        <v>07.00.00 - ALVENARIA- SUBTOTAL</v>
      </c>
      <c r="B16" s="62">
        <f>C16/C32</f>
        <v>5.4741268763270561E-2</v>
      </c>
      <c r="C16" s="45">
        <f>Orçamento!H126</f>
        <v>613858.58880000003</v>
      </c>
      <c r="D16" s="45">
        <f ca="1">C16*BDI!S$33+C16</f>
        <v>775610.32694880001</v>
      </c>
      <c r="F16" s="43"/>
      <c r="J16" s="44"/>
    </row>
    <row r="17" spans="1:10" x14ac:dyDescent="0.25">
      <c r="A17" s="59" t="str">
        <f>Orçamento!A152</f>
        <v>08.00.00 - ESQUADRIAS - SUBTOTAL</v>
      </c>
      <c r="B17" s="62">
        <f>C17/C32</f>
        <v>5.3511689567931314E-2</v>
      </c>
      <c r="C17" s="45">
        <f>Orçamento!H152</f>
        <v>600070.31229999999</v>
      </c>
      <c r="D17" s="45">
        <f ca="1">C17*BDI!S$33+C17</f>
        <v>758188.83959105005</v>
      </c>
      <c r="F17" s="43"/>
      <c r="J17" s="44"/>
    </row>
    <row r="18" spans="1:10" x14ac:dyDescent="0.25">
      <c r="A18" s="59" t="str">
        <f>Orçamento!A157</f>
        <v>09.00.00 - PORTÕES- SUBTOTAL</v>
      </c>
      <c r="B18" s="62">
        <f>C18/C32</f>
        <v>6.5024066112042767E-4</v>
      </c>
      <c r="C18" s="45">
        <f>Orçamento!H157</f>
        <v>7291.6800000000012</v>
      </c>
      <c r="D18" s="45">
        <f ca="1">C18*BDI!S$33+C18</f>
        <v>9213.0376800000013</v>
      </c>
      <c r="F18" s="43"/>
      <c r="J18" s="44"/>
    </row>
    <row r="19" spans="1:10" x14ac:dyDescent="0.25">
      <c r="A19" s="59" t="str">
        <f>Orçamento!A165</f>
        <v>10.00.00 - COBERTURA- SUBTOTAL</v>
      </c>
      <c r="B19" s="62">
        <f>C19/C32</f>
        <v>1.6220568233465339E-2</v>
      </c>
      <c r="C19" s="45">
        <f>Orçamento!H165</f>
        <v>181894.48930000002</v>
      </c>
      <c r="D19" s="45">
        <f ca="1">C19*BDI!S$33+C19</f>
        <v>229823.68723055001</v>
      </c>
      <c r="F19" s="43"/>
      <c r="J19" s="44"/>
    </row>
    <row r="20" spans="1:10" x14ac:dyDescent="0.25">
      <c r="A20" s="59" t="str">
        <f>Orçamento!A192</f>
        <v>11.00.00 - REVESTIMENTO - SUBTOTAL</v>
      </c>
      <c r="B20" s="62">
        <f>C20/C32</f>
        <v>0.13944215285223069</v>
      </c>
      <c r="C20" s="45">
        <f>Orçamento!H192</f>
        <v>1563678.8314</v>
      </c>
      <c r="D20" s="45">
        <f ca="1">C20*BDI!S$33+C20</f>
        <v>1975708.2034739</v>
      </c>
      <c r="F20" s="43"/>
      <c r="J20" s="44"/>
    </row>
    <row r="21" spans="1:10" x14ac:dyDescent="0.25">
      <c r="A21" s="59" t="str">
        <f>Orçamento!A199</f>
        <v>12.00.00 - PAVIMENTAÇÃO - SUBTOTAL</v>
      </c>
      <c r="B21" s="62">
        <f>C21/C32</f>
        <v>7.4957794265038862E-3</v>
      </c>
      <c r="C21" s="46">
        <f>Orçamento!H199</f>
        <v>84056.301300000006</v>
      </c>
      <c r="D21" s="45">
        <f ca="1">C21*BDI!S$33+C21</f>
        <v>106205.13669255</v>
      </c>
      <c r="F21" s="43"/>
      <c r="J21" s="44"/>
    </row>
    <row r="22" spans="1:10" x14ac:dyDescent="0.25">
      <c r="A22" s="59" t="str">
        <f>Orçamento!A206</f>
        <v>13.00.00 - SOLEIRAS, RODAPÉS E PEITORIS - SUBTOTAL</v>
      </c>
      <c r="B22" s="62">
        <f>C22/C32</f>
        <v>4.523046922207132E-3</v>
      </c>
      <c r="C22" s="46">
        <f>Orçamento!H206</f>
        <v>50720.621999999996</v>
      </c>
      <c r="D22" s="45">
        <f ca="1">C22*BDI!S$33+C22</f>
        <v>64085.505896999995</v>
      </c>
      <c r="F22" s="43"/>
      <c r="J22" s="44"/>
    </row>
    <row r="23" spans="1:10" x14ac:dyDescent="0.25">
      <c r="A23" s="59" t="str">
        <f>Orçamento!A228</f>
        <v>14.00.00 - PINTURA - SUBTOTAL</v>
      </c>
      <c r="B23" s="62">
        <f>C23/C32</f>
        <v>2.1270771575422509E-2</v>
      </c>
      <c r="C23" s="46">
        <f>Orçamento!H228</f>
        <v>238526.5471</v>
      </c>
      <c r="D23" s="45">
        <f ca="1">C23*BDI!S$33+C23</f>
        <v>301378.29226085002</v>
      </c>
      <c r="F23" s="43"/>
      <c r="J23" s="44"/>
    </row>
    <row r="24" spans="1:10" x14ac:dyDescent="0.25">
      <c r="A24" s="59" t="str">
        <f>Orçamento!A382</f>
        <v>15.00.00 - INSTALAÇÕES HIDRÁULICAS, SANITÁRIAS E ÁGUAS PLUVIAIS - SUBTOTAL</v>
      </c>
      <c r="B24" s="62">
        <f>C24/C32</f>
        <v>2.8083664267756731E-2</v>
      </c>
      <c r="C24" s="46">
        <f>Orçamento!H382</f>
        <v>314925.08130000002</v>
      </c>
      <c r="D24" s="45">
        <f ca="1">C24*BDI!S$33+C24</f>
        <v>397907.84022255003</v>
      </c>
      <c r="F24" s="43"/>
      <c r="J24" s="44"/>
    </row>
    <row r="25" spans="1:10" x14ac:dyDescent="0.25">
      <c r="A25" s="59" t="str">
        <f>Orçamento!A464</f>
        <v>16.00.00 - INSTALAÇÕES ELÉTRICAS TELEFONICA E CABEAMENTO ESTRUTURADO - SUBTOTAL</v>
      </c>
      <c r="B25" s="62">
        <f>C25/C32</f>
        <v>9.3589188168608631E-2</v>
      </c>
      <c r="C25" s="45">
        <f>Orçamento!H464</f>
        <v>1049492.0610000002</v>
      </c>
      <c r="D25" s="45">
        <f ca="1">C25*BDI!S$33+C25</f>
        <v>1326033.2190735003</v>
      </c>
      <c r="F25" s="43"/>
      <c r="J25" s="44"/>
    </row>
    <row r="26" spans="1:10" x14ac:dyDescent="0.25">
      <c r="A26" s="59" t="s">
        <v>896</v>
      </c>
      <c r="B26" s="62">
        <f>C26/C32</f>
        <v>2.7456412985918444E-3</v>
      </c>
      <c r="C26" s="45">
        <f>Orçamento!H481</f>
        <v>30789.120000000003</v>
      </c>
      <c r="D26" s="45">
        <f ca="1">C26*BDI!S$33+C26</f>
        <v>38902.053120000004</v>
      </c>
      <c r="F26" s="43"/>
      <c r="J26" s="44"/>
    </row>
    <row r="27" spans="1:10" x14ac:dyDescent="0.25">
      <c r="A27" s="59" t="s">
        <v>933</v>
      </c>
      <c r="B27" s="62">
        <f>C27/C32</f>
        <v>5.6761155035345852E-2</v>
      </c>
      <c r="C27" s="45">
        <f>Orçamento!H500</f>
        <v>636509.22450000001</v>
      </c>
      <c r="D27" s="45">
        <f ca="1">C27*BDI!S$33+C27</f>
        <v>804229.40515574999</v>
      </c>
      <c r="F27" s="43"/>
      <c r="J27" s="44"/>
    </row>
    <row r="28" spans="1:10" x14ac:dyDescent="0.25">
      <c r="A28" s="60" t="s">
        <v>934</v>
      </c>
      <c r="B28" s="62">
        <f>C28/C32</f>
        <v>3.8599971573121776E-2</v>
      </c>
      <c r="C28" s="45">
        <f>Orçamento!H523</f>
        <v>432853.03050000005</v>
      </c>
      <c r="D28" s="45">
        <f ca="1">C28*BDI!S$33+C28</f>
        <v>546909.80403675011</v>
      </c>
      <c r="F28" s="43"/>
      <c r="J28" s="44"/>
    </row>
    <row r="29" spans="1:10" x14ac:dyDescent="0.25">
      <c r="A29" s="60" t="s">
        <v>1154</v>
      </c>
      <c r="B29" s="62">
        <f>C29/C32</f>
        <v>1.1122202862139618E-2</v>
      </c>
      <c r="C29" s="45">
        <f>Orçamento!H542</f>
        <v>124722.35129999999</v>
      </c>
      <c r="D29" s="45">
        <f ca="1">C29*BDI!S$33+C29</f>
        <v>157586.69086755</v>
      </c>
      <c r="F29" s="43"/>
      <c r="J29" s="44"/>
    </row>
    <row r="30" spans="1:10" x14ac:dyDescent="0.25">
      <c r="A30" s="59" t="s">
        <v>1166</v>
      </c>
      <c r="B30" s="62">
        <f>C30/C32</f>
        <v>2.2106170674324364E-4</v>
      </c>
      <c r="C30" s="45">
        <f>Orçamento!H546</f>
        <v>2478.9456</v>
      </c>
      <c r="D30" s="45">
        <f ca="1">C30*BDI!S$33+C30</f>
        <v>3132.1477656000002</v>
      </c>
      <c r="F30" s="43"/>
      <c r="J30" s="44"/>
    </row>
    <row r="31" spans="1:10" x14ac:dyDescent="0.25">
      <c r="A31" s="59" t="s">
        <v>1152</v>
      </c>
      <c r="B31" s="62">
        <f>C31/C32</f>
        <v>3.2934886385693118E-3</v>
      </c>
      <c r="C31" s="45">
        <f>Orçamento!H550</f>
        <v>36932.58</v>
      </c>
      <c r="D31" s="45">
        <f ca="1">C31*BDI!S$33+C31</f>
        <v>46664.314830000003</v>
      </c>
      <c r="F31" s="43"/>
      <c r="J31" s="44"/>
    </row>
    <row r="32" spans="1:10" x14ac:dyDescent="0.25">
      <c r="A32" s="63" t="s">
        <v>219</v>
      </c>
      <c r="B32" s="64">
        <f>SUM(B10:B31)</f>
        <v>1.0000000000000002</v>
      </c>
      <c r="C32" s="65">
        <f>SUM(C10:C31)</f>
        <v>11213817.338699998</v>
      </c>
      <c r="D32" s="65">
        <f ca="1">SUM(D10:D31)</f>
        <v>14168658.207447449</v>
      </c>
      <c r="F32" s="43"/>
    </row>
    <row r="33" spans="2:6" x14ac:dyDescent="0.25">
      <c r="B33" s="44"/>
      <c r="D33" s="43"/>
      <c r="F33" s="43"/>
    </row>
  </sheetData>
  <mergeCells count="2">
    <mergeCell ref="A1:D1"/>
    <mergeCell ref="A2:D2"/>
  </mergeCells>
  <pageMargins left="0.70866141732283472" right="0.51181102362204722" top="0.78740157480314965" bottom="0.78740157480314965" header="0.31496062992125984" footer="0.31496062992125984"/>
  <pageSetup paperSize="9" scale="9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zoomScaleNormal="100" workbookViewId="0">
      <pane xSplit="14" ySplit="10" topLeftCell="O23" activePane="bottomRight" state="frozen"/>
      <selection pane="topRight" activeCell="O1" sqref="O1"/>
      <selection pane="bottomLeft" activeCell="A11" sqref="A11"/>
      <selection pane="bottomRight" activeCell="B14" sqref="B14"/>
    </sheetView>
  </sheetViews>
  <sheetFormatPr defaultRowHeight="15" x14ac:dyDescent="0.25"/>
  <cols>
    <col min="1" max="1" width="30.42578125" customWidth="1"/>
    <col min="2" max="2" width="12.85546875" bestFit="1" customWidth="1"/>
    <col min="3" max="15" width="6.7109375" customWidth="1"/>
    <col min="16" max="16" width="0" hidden="1" customWidth="1"/>
  </cols>
  <sheetData>
    <row r="1" spans="1:15" ht="43.5" customHeight="1" x14ac:dyDescent="0.25">
      <c r="A1" s="427"/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</row>
    <row r="2" spans="1:15" ht="9" customHeight="1" x14ac:dyDescent="0.25">
      <c r="A2" s="432" t="s">
        <v>956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</row>
    <row r="3" spans="1:15" ht="15" customHeight="1" x14ac:dyDescent="0.25"/>
    <row r="4" spans="1:15" x14ac:dyDescent="0.25">
      <c r="A4" t="str">
        <f>Orçamento!A4</f>
        <v>OBRA : UNIFACEF - CONSTRUÇÃO DE AMBULATÓRIO ESCOLA E OUTROS - FRANCA - SP</v>
      </c>
    </row>
    <row r="5" spans="1:15" x14ac:dyDescent="0.25">
      <c r="A5" t="str">
        <f>Orçamento!A5</f>
        <v>PROPRIETÁRIO : PREFEITURA MUNICIPAL DE FRANCA</v>
      </c>
    </row>
    <row r="6" spans="1:15" x14ac:dyDescent="0.25">
      <c r="A6" t="str">
        <f>Orçamento!A6</f>
        <v>ENDERÇO :     RUA VICENTE GRAMANI ESQUINA COM A RUA PROF.ª AMÁLIA PIMENTEL</v>
      </c>
    </row>
    <row r="7" spans="1:15" x14ac:dyDescent="0.25">
      <c r="A7" t="str">
        <f>Orçamento!A7</f>
        <v>DATA : 05/12/2023</v>
      </c>
    </row>
    <row r="8" spans="1:15" ht="6.75" customHeight="1" x14ac:dyDescent="0.25"/>
    <row r="9" spans="1:15" s="61" customFormat="1" x14ac:dyDescent="0.2">
      <c r="A9" s="430" t="s">
        <v>954</v>
      </c>
      <c r="B9" s="431"/>
      <c r="C9" s="431"/>
      <c r="D9" s="431"/>
      <c r="E9" s="431"/>
      <c r="F9" s="431"/>
      <c r="G9" s="431"/>
      <c r="H9" s="431"/>
      <c r="I9" s="431"/>
      <c r="J9" s="431"/>
      <c r="K9" s="431"/>
      <c r="L9" s="431"/>
      <c r="M9" s="431"/>
      <c r="N9" s="431"/>
      <c r="O9" s="431"/>
    </row>
    <row r="10" spans="1:15" s="76" customFormat="1" ht="11.25" x14ac:dyDescent="0.2">
      <c r="A10" s="68" t="s">
        <v>215</v>
      </c>
      <c r="B10" s="68" t="s">
        <v>218</v>
      </c>
      <c r="C10" s="69" t="s">
        <v>216</v>
      </c>
      <c r="D10" s="69" t="s">
        <v>220</v>
      </c>
      <c r="E10" s="69" t="s">
        <v>221</v>
      </c>
      <c r="F10" s="69" t="s">
        <v>222</v>
      </c>
      <c r="G10" s="69" t="s">
        <v>223</v>
      </c>
      <c r="H10" s="69" t="s">
        <v>224</v>
      </c>
      <c r="I10" s="69" t="s">
        <v>225</v>
      </c>
      <c r="J10" s="69" t="s">
        <v>567</v>
      </c>
      <c r="K10" s="69" t="s">
        <v>568</v>
      </c>
      <c r="L10" s="69" t="s">
        <v>569</v>
      </c>
      <c r="M10" s="69" t="s">
        <v>570</v>
      </c>
      <c r="N10" s="69" t="s">
        <v>571</v>
      </c>
      <c r="O10" s="69" t="s">
        <v>572</v>
      </c>
    </row>
    <row r="11" spans="1:15" x14ac:dyDescent="0.25">
      <c r="A11" s="70" t="s">
        <v>959</v>
      </c>
      <c r="B11" s="71">
        <f ca="1">ESPELHO!D10</f>
        <v>1333.6773169999999</v>
      </c>
      <c r="C11" s="72">
        <f>ESPELHO!B10</f>
        <v>9.4128695708036865E-5</v>
      </c>
      <c r="D11" s="82">
        <v>1</v>
      </c>
      <c r="E11" s="73"/>
      <c r="F11" s="73"/>
      <c r="G11" s="73"/>
      <c r="H11" s="73"/>
      <c r="I11" s="73"/>
      <c r="J11" s="80"/>
      <c r="K11" s="80"/>
      <c r="L11" s="80"/>
      <c r="M11" s="80"/>
      <c r="N11" s="80"/>
      <c r="O11" s="80"/>
    </row>
    <row r="12" spans="1:15" x14ac:dyDescent="0.25">
      <c r="A12" s="74" t="s">
        <v>960</v>
      </c>
      <c r="B12" s="71">
        <f ca="1">ESPELHO!D11</f>
        <v>40108.935684999997</v>
      </c>
      <c r="C12" s="72">
        <f>ESPELHO!B11</f>
        <v>2.8308210345505832E-3</v>
      </c>
      <c r="D12" s="82">
        <v>1</v>
      </c>
      <c r="E12" s="73"/>
      <c r="F12" s="73"/>
      <c r="G12" s="73"/>
      <c r="H12" s="73"/>
      <c r="I12" s="73"/>
      <c r="J12" s="80"/>
      <c r="K12" s="80"/>
      <c r="L12" s="80"/>
      <c r="M12" s="80"/>
      <c r="N12" s="80"/>
      <c r="O12" s="80"/>
    </row>
    <row r="13" spans="1:15" x14ac:dyDescent="0.25">
      <c r="A13" s="74" t="s">
        <v>961</v>
      </c>
      <c r="B13" s="71">
        <f ca="1">ESPELHO!D12</f>
        <v>11410.431467400002</v>
      </c>
      <c r="C13" s="72">
        <f>ESPELHO!B12</f>
        <v>8.0532900860028902E-4</v>
      </c>
      <c r="D13" s="82">
        <v>1</v>
      </c>
      <c r="E13" s="73"/>
      <c r="F13" s="73"/>
      <c r="G13" s="73"/>
      <c r="H13" s="73"/>
      <c r="I13" s="73"/>
      <c r="J13" s="80"/>
      <c r="K13" s="80"/>
      <c r="L13" s="80"/>
      <c r="M13" s="80"/>
      <c r="N13" s="80"/>
      <c r="O13" s="80"/>
    </row>
    <row r="14" spans="1:15" x14ac:dyDescent="0.25">
      <c r="A14" s="74" t="s">
        <v>962</v>
      </c>
      <c r="B14" s="71">
        <f ca="1">ESPELHO!D13</f>
        <v>978001.958339</v>
      </c>
      <c r="C14" s="72">
        <f>ESPELHO!B13</f>
        <v>6.9025728761311675E-2</v>
      </c>
      <c r="D14" s="82">
        <v>0.3</v>
      </c>
      <c r="E14" s="82">
        <v>0.4</v>
      </c>
      <c r="F14" s="82">
        <v>0.3</v>
      </c>
      <c r="G14" s="73"/>
      <c r="H14" s="73"/>
      <c r="I14" s="73"/>
      <c r="J14" s="80"/>
      <c r="K14" s="80"/>
      <c r="L14" s="80"/>
      <c r="M14" s="80"/>
      <c r="N14" s="80"/>
      <c r="O14" s="80"/>
    </row>
    <row r="15" spans="1:15" x14ac:dyDescent="0.25">
      <c r="A15" s="74" t="s">
        <v>963</v>
      </c>
      <c r="B15" s="71">
        <f ca="1">ESPELHO!D14</f>
        <v>2825105.4795456496</v>
      </c>
      <c r="C15" s="72">
        <f>ESPELHO!B14</f>
        <v>0.19939118003853704</v>
      </c>
      <c r="D15" s="73"/>
      <c r="E15" s="73"/>
      <c r="F15" s="82">
        <v>0.2</v>
      </c>
      <c r="G15" s="73"/>
      <c r="H15" s="82">
        <v>0.4</v>
      </c>
      <c r="I15" s="82">
        <v>0.4</v>
      </c>
      <c r="J15" s="80"/>
      <c r="K15" s="80"/>
      <c r="L15" s="80"/>
      <c r="M15" s="80"/>
      <c r="N15" s="80"/>
      <c r="O15" s="80"/>
    </row>
    <row r="16" spans="1:15" ht="22.5" x14ac:dyDescent="0.25">
      <c r="A16" s="74" t="s">
        <v>964</v>
      </c>
      <c r="B16" s="71">
        <f ca="1">ESPELHO!D15</f>
        <v>2771119.220247</v>
      </c>
      <c r="C16" s="72">
        <f>ESPELHO!B15</f>
        <v>0.19558092090826365</v>
      </c>
      <c r="D16" s="73"/>
      <c r="E16" s="73"/>
      <c r="F16" s="73"/>
      <c r="G16" s="82">
        <v>0.3</v>
      </c>
      <c r="H16" s="82">
        <v>0.4</v>
      </c>
      <c r="I16" s="82">
        <v>0.3</v>
      </c>
      <c r="J16" s="80"/>
      <c r="K16" s="80"/>
      <c r="L16" s="80"/>
      <c r="M16" s="80"/>
      <c r="N16" s="80"/>
      <c r="O16" s="80"/>
    </row>
    <row r="17" spans="1:18" x14ac:dyDescent="0.25">
      <c r="A17" s="74" t="s">
        <v>965</v>
      </c>
      <c r="B17" s="71">
        <f ca="1">ESPELHO!D16</f>
        <v>775610.32694880001</v>
      </c>
      <c r="C17" s="72">
        <f>ESPELHO!B16</f>
        <v>5.4741268763270561E-2</v>
      </c>
      <c r="D17" s="73"/>
      <c r="E17" s="73"/>
      <c r="F17" s="73"/>
      <c r="G17" s="73"/>
      <c r="H17" s="73"/>
      <c r="I17" s="73"/>
      <c r="J17" s="82">
        <v>0.2</v>
      </c>
      <c r="K17" s="82">
        <v>0.2</v>
      </c>
      <c r="L17" s="82">
        <v>0.2</v>
      </c>
      <c r="M17" s="82">
        <v>0.2</v>
      </c>
      <c r="N17" s="82">
        <v>0.2</v>
      </c>
      <c r="O17" s="80"/>
    </row>
    <row r="18" spans="1:18" x14ac:dyDescent="0.25">
      <c r="A18" s="74" t="s">
        <v>966</v>
      </c>
      <c r="B18" s="71">
        <f ca="1">ESPELHO!D17</f>
        <v>758188.83959105005</v>
      </c>
      <c r="C18" s="72">
        <f>ESPELHO!B17</f>
        <v>5.3511689567931314E-2</v>
      </c>
      <c r="D18" s="73"/>
      <c r="E18" s="73"/>
      <c r="F18" s="73"/>
      <c r="G18" s="73"/>
      <c r="H18" s="73"/>
      <c r="I18" s="73"/>
      <c r="J18" s="82">
        <v>0.15</v>
      </c>
      <c r="K18" s="82">
        <v>0.2</v>
      </c>
      <c r="L18" s="82">
        <v>0.2</v>
      </c>
      <c r="M18" s="82">
        <v>0.2</v>
      </c>
      <c r="N18" s="82">
        <v>0.25</v>
      </c>
      <c r="O18" s="73"/>
    </row>
    <row r="19" spans="1:18" x14ac:dyDescent="0.25">
      <c r="A19" s="74" t="s">
        <v>967</v>
      </c>
      <c r="B19" s="71">
        <f ca="1">ESPELHO!D18</f>
        <v>9213.0376800000013</v>
      </c>
      <c r="C19" s="72">
        <f>ESPELHO!B18</f>
        <v>6.5024066112042767E-4</v>
      </c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</row>
    <row r="20" spans="1:18" x14ac:dyDescent="0.25">
      <c r="A20" s="74" t="s">
        <v>968</v>
      </c>
      <c r="B20" s="71">
        <f ca="1">ESPELHO!D19</f>
        <v>229823.68723055001</v>
      </c>
      <c r="C20" s="72">
        <f>ESPELHO!B19</f>
        <v>1.6220568233465339E-2</v>
      </c>
      <c r="D20" s="73"/>
      <c r="E20" s="73"/>
      <c r="F20" s="73"/>
      <c r="G20" s="73"/>
      <c r="H20" s="73"/>
      <c r="I20" s="73"/>
      <c r="J20" s="73"/>
      <c r="K20" s="80"/>
      <c r="L20" s="80"/>
      <c r="M20" s="80"/>
      <c r="N20" s="80"/>
      <c r="O20" s="82">
        <v>0.5</v>
      </c>
    </row>
    <row r="21" spans="1:18" x14ac:dyDescent="0.25">
      <c r="A21" s="74" t="s">
        <v>969</v>
      </c>
      <c r="B21" s="71">
        <f ca="1">ESPELHO!D20</f>
        <v>1975708.2034739</v>
      </c>
      <c r="C21" s="72">
        <f>ESPELHO!B20</f>
        <v>0.13944215285223069</v>
      </c>
      <c r="D21" s="73"/>
      <c r="E21" s="73"/>
      <c r="F21" s="73"/>
      <c r="G21" s="73"/>
      <c r="H21" s="73"/>
      <c r="I21" s="73"/>
      <c r="J21" s="73"/>
      <c r="K21" s="82">
        <v>0.05</v>
      </c>
      <c r="L21" s="82">
        <v>0.14000000000000001</v>
      </c>
      <c r="M21" s="82">
        <v>0.14000000000000001</v>
      </c>
      <c r="N21" s="82">
        <v>0.05</v>
      </c>
      <c r="O21" s="82">
        <v>0.17</v>
      </c>
      <c r="P21" s="44"/>
      <c r="R21" s="44"/>
    </row>
    <row r="22" spans="1:18" x14ac:dyDescent="0.25">
      <c r="A22" s="74" t="s">
        <v>970</v>
      </c>
      <c r="B22" s="75">
        <f ca="1">ESPELHO!D21</f>
        <v>106205.13669255</v>
      </c>
      <c r="C22" s="72">
        <f>ESPELHO!B21</f>
        <v>7.4957794265038862E-3</v>
      </c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</row>
    <row r="23" spans="1:18" x14ac:dyDescent="0.25">
      <c r="A23" s="74" t="s">
        <v>971</v>
      </c>
      <c r="B23" s="75">
        <f ca="1">ESPELHO!D22</f>
        <v>64085.505896999995</v>
      </c>
      <c r="C23" s="72">
        <f>ESPELHO!B22</f>
        <v>4.523046922207132E-3</v>
      </c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</row>
    <row r="24" spans="1:18" x14ac:dyDescent="0.25">
      <c r="A24" s="74" t="s">
        <v>972</v>
      </c>
      <c r="B24" s="75">
        <f ca="1">ESPELHO!D23</f>
        <v>301378.29226085002</v>
      </c>
      <c r="C24" s="72">
        <f>ESPELHO!B23</f>
        <v>2.1270771575422509E-2</v>
      </c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</row>
    <row r="25" spans="1:18" ht="22.5" x14ac:dyDescent="0.25">
      <c r="A25" s="74" t="s">
        <v>973</v>
      </c>
      <c r="B25" s="75">
        <f ca="1">ESPELHO!D24</f>
        <v>397907.84022255003</v>
      </c>
      <c r="C25" s="72">
        <f>ESPELHO!B24</f>
        <v>2.8083664267756731E-2</v>
      </c>
      <c r="D25" s="73"/>
      <c r="E25" s="73"/>
      <c r="F25" s="73"/>
      <c r="G25" s="73"/>
      <c r="H25" s="73"/>
      <c r="I25" s="73"/>
      <c r="J25" s="73"/>
      <c r="K25" s="82">
        <v>0.15</v>
      </c>
      <c r="L25" s="82">
        <v>0.15</v>
      </c>
      <c r="M25" s="82">
        <v>0.15</v>
      </c>
      <c r="N25" s="73"/>
      <c r="O25" s="73"/>
    </row>
    <row r="26" spans="1:18" ht="22.5" x14ac:dyDescent="0.25">
      <c r="A26" s="74" t="s">
        <v>974</v>
      </c>
      <c r="B26" s="71">
        <f ca="1">ESPELHO!D25</f>
        <v>1326033.2190735003</v>
      </c>
      <c r="C26" s="72">
        <f>ESPELHO!B25</f>
        <v>9.3589188168608631E-2</v>
      </c>
      <c r="D26" s="73"/>
      <c r="E26" s="73"/>
      <c r="F26" s="73"/>
      <c r="G26" s="73"/>
      <c r="H26" s="73"/>
      <c r="I26" s="73"/>
      <c r="J26" s="73"/>
      <c r="K26" s="82">
        <v>2.5000000000000001E-2</v>
      </c>
      <c r="L26" s="82">
        <v>2.5000000000000001E-2</v>
      </c>
      <c r="M26" s="82">
        <v>2.5000000000000001E-2</v>
      </c>
      <c r="N26" s="82">
        <v>2.5000000000000001E-2</v>
      </c>
      <c r="O26" s="73"/>
    </row>
    <row r="27" spans="1:18" ht="22.5" x14ac:dyDescent="0.25">
      <c r="A27" s="74" t="s">
        <v>975</v>
      </c>
      <c r="B27" s="71">
        <f ca="1">ESPELHO!D26</f>
        <v>38902.053120000004</v>
      </c>
      <c r="C27" s="72">
        <f>ESPELHO!B26</f>
        <v>2.7456412985918444E-3</v>
      </c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</row>
    <row r="28" spans="1:18" ht="22.5" x14ac:dyDescent="0.25">
      <c r="A28" s="74" t="s">
        <v>976</v>
      </c>
      <c r="B28" s="71">
        <f ca="1">ESPELHO!D27</f>
        <v>804229.40515574999</v>
      </c>
      <c r="C28" s="72">
        <f>ESPELHO!B27</f>
        <v>5.6761155035345852E-2</v>
      </c>
      <c r="D28" s="73"/>
      <c r="E28" s="73"/>
      <c r="F28" s="73"/>
      <c r="G28" s="73"/>
      <c r="H28" s="73"/>
      <c r="I28" s="73"/>
      <c r="J28" s="73"/>
      <c r="K28" s="73"/>
      <c r="L28" s="73"/>
      <c r="M28" s="82">
        <v>7.4999999999999997E-2</v>
      </c>
      <c r="N28" s="82">
        <v>7.4999999999999997E-2</v>
      </c>
      <c r="O28" s="73"/>
    </row>
    <row r="29" spans="1:18" ht="22.5" x14ac:dyDescent="0.25">
      <c r="A29" s="74" t="s">
        <v>977</v>
      </c>
      <c r="B29" s="71">
        <f ca="1">ESPELHO!D28</f>
        <v>546909.80403675011</v>
      </c>
      <c r="C29" s="72">
        <f>ESPELHO!B28</f>
        <v>3.8599971573121776E-2</v>
      </c>
      <c r="D29" s="73"/>
      <c r="E29" s="73"/>
      <c r="F29" s="73"/>
      <c r="G29" s="73"/>
      <c r="H29" s="73"/>
      <c r="I29" s="73"/>
      <c r="J29" s="73"/>
      <c r="K29" s="73"/>
      <c r="L29" s="73"/>
      <c r="M29" s="82">
        <v>0.3</v>
      </c>
      <c r="N29" s="82">
        <v>0.3</v>
      </c>
      <c r="O29" s="73"/>
    </row>
    <row r="30" spans="1:18" ht="20.25" customHeight="1" x14ac:dyDescent="0.25">
      <c r="A30" s="74" t="s">
        <v>1169</v>
      </c>
      <c r="B30" s="71">
        <f ca="1">ESPELHO!D29</f>
        <v>157586.69086755</v>
      </c>
      <c r="C30" s="72">
        <f>ESPELHO!B29</f>
        <v>1.1122202862139618E-2</v>
      </c>
      <c r="D30" s="73"/>
      <c r="E30" s="73"/>
      <c r="F30" s="73"/>
      <c r="G30" s="73"/>
      <c r="H30" s="73"/>
      <c r="I30" s="73"/>
      <c r="J30" s="73"/>
      <c r="K30" s="114">
        <v>0.2</v>
      </c>
      <c r="L30" s="114">
        <v>0.2</v>
      </c>
      <c r="M30" s="73"/>
      <c r="N30" s="73"/>
      <c r="O30" s="73"/>
    </row>
    <row r="31" spans="1:18" x14ac:dyDescent="0.25">
      <c r="A31" s="74" t="s">
        <v>1167</v>
      </c>
      <c r="B31" s="71">
        <f ca="1">ESPELHO!D30</f>
        <v>3132.1477656000002</v>
      </c>
      <c r="C31" s="72">
        <f>ESPELHO!B30</f>
        <v>2.2106170674324364E-4</v>
      </c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</row>
    <row r="32" spans="1:18" x14ac:dyDescent="0.25">
      <c r="A32" s="74" t="s">
        <v>1168</v>
      </c>
      <c r="B32" s="71">
        <f ca="1">ESPELHO!D31</f>
        <v>46664.314830000003</v>
      </c>
      <c r="C32" s="72">
        <f>ESPELHO!B31</f>
        <v>3.2934886385693118E-3</v>
      </c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</row>
    <row r="33" spans="1:18" x14ac:dyDescent="0.25">
      <c r="A33" s="77" t="s">
        <v>219</v>
      </c>
      <c r="B33" s="78">
        <f ca="1">SUM(B11:B32)</f>
        <v>14168658.207447449</v>
      </c>
      <c r="C33" s="79">
        <f>SUM(C11:C32)</f>
        <v>1.0000000000000002</v>
      </c>
      <c r="D33" s="81">
        <f>C11*D11+C12*D12+C13*D13+C14*D14</f>
        <v>2.4437997367252409E-2</v>
      </c>
      <c r="E33" s="81">
        <f>C14*E14</f>
        <v>2.7610291504524671E-2</v>
      </c>
      <c r="F33" s="81">
        <f>C14*F14+C15*F15</f>
        <v>6.0585954636100905E-2</v>
      </c>
      <c r="G33" s="81">
        <f>C16*G16</f>
        <v>5.8674276272479092E-2</v>
      </c>
      <c r="H33" s="81">
        <f>C15*H15+C16*H16</f>
        <v>0.1579888403787203</v>
      </c>
      <c r="I33" s="81">
        <f>C15*I15+C16*I16</f>
        <v>0.13843074828789392</v>
      </c>
      <c r="J33" s="81">
        <f>C17*J17+C18*J18</f>
        <v>1.8975007187843809E-2</v>
      </c>
      <c r="K33" s="81">
        <f>C17*K17+C18*K18+C21*K21+C25*K25+C26*K26</f>
        <v>3.5174978653230632E-2</v>
      </c>
      <c r="L33" s="81">
        <f>C17*L17+C18*L18+C21*L21+C25*L25+C26*L26</f>
        <v>4.77247724099314E-2</v>
      </c>
      <c r="M33" s="81">
        <f>C17*M17+C18*M18+C21*M21+C25*M25+C26*M26+C28*M28+C29*M29</f>
        <v>6.3561850509518875E-2</v>
      </c>
      <c r="N33" s="81">
        <f>C17*N17+C18*N18+C21*N21+C26*N26+C28*N28+C29*N29</f>
        <v>4.9475091591051151E-2</v>
      </c>
      <c r="O33" s="81">
        <f>C20*O20+C21*O21</f>
        <v>3.1815450101611888E-2</v>
      </c>
      <c r="P33" s="44">
        <f>SUM(D33:O33)</f>
        <v>0.71445525890015915</v>
      </c>
      <c r="R33" s="44"/>
    </row>
  </sheetData>
  <mergeCells count="3">
    <mergeCell ref="A9:O9"/>
    <mergeCell ref="A1:O1"/>
    <mergeCell ref="A2:O2"/>
  </mergeCells>
  <phoneticPr fontId="26" type="noConversion"/>
  <pageMargins left="0.51181102362204722" right="0.51181102362204722" top="0.78740157480314965" bottom="0.78740157480314965" header="0.31496062992125984" footer="0.31496062992125984"/>
  <pageSetup paperSize="9"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zoomScale="110" zoomScaleNormal="110" workbookViewId="0">
      <pane xSplit="14" ySplit="10" topLeftCell="O23" activePane="bottomRight" state="frozen"/>
      <selection pane="topRight" activeCell="O1" sqref="O1"/>
      <selection pane="bottomLeft" activeCell="A11" sqref="A11"/>
      <selection pane="bottomRight" activeCell="Q34" sqref="Q34"/>
    </sheetView>
  </sheetViews>
  <sheetFormatPr defaultRowHeight="15" x14ac:dyDescent="0.25"/>
  <cols>
    <col min="1" max="1" width="30.42578125" customWidth="1"/>
    <col min="2" max="2" width="12.85546875" bestFit="1" customWidth="1"/>
    <col min="3" max="14" width="6.7109375" customWidth="1"/>
    <col min="15" max="15" width="6.7109375" hidden="1" customWidth="1"/>
  </cols>
  <sheetData>
    <row r="1" spans="1:15" ht="43.5" customHeight="1" x14ac:dyDescent="0.25">
      <c r="A1" s="427"/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</row>
    <row r="2" spans="1:15" ht="9" customHeight="1" x14ac:dyDescent="0.25">
      <c r="A2" s="432" t="s">
        <v>956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</row>
    <row r="3" spans="1:15" ht="15" customHeight="1" x14ac:dyDescent="0.25"/>
    <row r="4" spans="1:15" x14ac:dyDescent="0.25">
      <c r="A4" t="str">
        <f>Orçamento!A4</f>
        <v>OBRA : UNIFACEF - CONSTRUÇÃO DE AMBULATÓRIO ESCOLA E OUTROS - FRANCA - SP</v>
      </c>
    </row>
    <row r="5" spans="1:15" x14ac:dyDescent="0.25">
      <c r="A5" t="str">
        <f>Orçamento!A5</f>
        <v>PROPRIETÁRIO : PREFEITURA MUNICIPAL DE FRANCA</v>
      </c>
    </row>
    <row r="6" spans="1:15" x14ac:dyDescent="0.25">
      <c r="A6" t="str">
        <f>Orçamento!A6</f>
        <v>ENDERÇO :     RUA VICENTE GRAMANI ESQUINA COM A RUA PROF.ª AMÁLIA PIMENTEL</v>
      </c>
    </row>
    <row r="7" spans="1:15" x14ac:dyDescent="0.25">
      <c r="A7" t="str">
        <f>Orçamento!A7</f>
        <v>DATA : 05/12/2023</v>
      </c>
    </row>
    <row r="8" spans="1:15" ht="6.75" customHeight="1" x14ac:dyDescent="0.25"/>
    <row r="9" spans="1:15" x14ac:dyDescent="0.25">
      <c r="A9" s="430" t="s">
        <v>955</v>
      </c>
      <c r="B9" s="431"/>
      <c r="C9" s="431"/>
      <c r="D9" s="431"/>
      <c r="E9" s="431"/>
      <c r="F9" s="431"/>
      <c r="G9" s="431"/>
      <c r="H9" s="431"/>
      <c r="I9" s="431"/>
      <c r="J9" s="431"/>
      <c r="K9" s="431"/>
      <c r="L9" s="431"/>
      <c r="M9" s="431"/>
      <c r="N9" s="431"/>
      <c r="O9" s="431"/>
    </row>
    <row r="10" spans="1:15" x14ac:dyDescent="0.25">
      <c r="A10" s="68" t="s">
        <v>215</v>
      </c>
      <c r="B10" s="68" t="s">
        <v>218</v>
      </c>
      <c r="C10" s="69" t="s">
        <v>216</v>
      </c>
      <c r="D10" s="69" t="s">
        <v>939</v>
      </c>
      <c r="E10" s="69" t="s">
        <v>940</v>
      </c>
      <c r="F10" s="69" t="s">
        <v>941</v>
      </c>
      <c r="G10" s="69" t="s">
        <v>942</v>
      </c>
      <c r="H10" s="69" t="s">
        <v>943</v>
      </c>
      <c r="I10" s="69" t="s">
        <v>944</v>
      </c>
      <c r="J10" s="69" t="s">
        <v>945</v>
      </c>
      <c r="K10" s="69" t="s">
        <v>946</v>
      </c>
      <c r="L10" s="69" t="s">
        <v>947</v>
      </c>
      <c r="M10" s="69" t="s">
        <v>948</v>
      </c>
      <c r="N10" s="69"/>
      <c r="O10" s="69"/>
    </row>
    <row r="11" spans="1:15" x14ac:dyDescent="0.25">
      <c r="A11" s="70" t="s">
        <v>959</v>
      </c>
      <c r="B11" s="71">
        <f ca="1">ESPELHO!D10</f>
        <v>1333.6773169999999</v>
      </c>
      <c r="C11" s="72">
        <f>'CRONOGRAMA P1'!C11</f>
        <v>9.4128695708036865E-5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</row>
    <row r="12" spans="1:15" x14ac:dyDescent="0.25">
      <c r="A12" s="74" t="s">
        <v>960</v>
      </c>
      <c r="B12" s="71">
        <f ca="1">ESPELHO!D11</f>
        <v>40108.935684999997</v>
      </c>
      <c r="C12" s="72">
        <f>'CRONOGRAMA P1'!C12</f>
        <v>2.8308210345505832E-3</v>
      </c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</row>
    <row r="13" spans="1:15" x14ac:dyDescent="0.25">
      <c r="A13" s="74" t="s">
        <v>961</v>
      </c>
      <c r="B13" s="71">
        <f ca="1">ESPELHO!D12</f>
        <v>11410.431467400002</v>
      </c>
      <c r="C13" s="72">
        <f>'CRONOGRAMA P1'!C13</f>
        <v>8.0532900860028902E-4</v>
      </c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</row>
    <row r="14" spans="1:15" x14ac:dyDescent="0.25">
      <c r="A14" s="74" t="s">
        <v>962</v>
      </c>
      <c r="B14" s="71">
        <f ca="1">ESPELHO!D13</f>
        <v>978001.958339</v>
      </c>
      <c r="C14" s="72">
        <f>'CRONOGRAMA P1'!C14</f>
        <v>6.9025728761311675E-2</v>
      </c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</row>
    <row r="15" spans="1:15" x14ac:dyDescent="0.25">
      <c r="A15" s="74" t="s">
        <v>963</v>
      </c>
      <c r="B15" s="71">
        <f ca="1">ESPELHO!D14</f>
        <v>2825105.4795456496</v>
      </c>
      <c r="C15" s="72">
        <f>'CRONOGRAMA P1'!C15</f>
        <v>0.19939118003853704</v>
      </c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</row>
    <row r="16" spans="1:15" ht="22.5" x14ac:dyDescent="0.25">
      <c r="A16" s="74" t="s">
        <v>964</v>
      </c>
      <c r="B16" s="71">
        <f ca="1">ESPELHO!D15</f>
        <v>2771119.220247</v>
      </c>
      <c r="C16" s="72">
        <f>'CRONOGRAMA P1'!C16</f>
        <v>0.19558092090826365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</row>
    <row r="17" spans="1:15" x14ac:dyDescent="0.25">
      <c r="A17" s="74" t="s">
        <v>965</v>
      </c>
      <c r="B17" s="71">
        <f ca="1">ESPELHO!D16</f>
        <v>775610.32694880001</v>
      </c>
      <c r="C17" s="72">
        <f>'CRONOGRAMA P1'!C17</f>
        <v>5.4741268763270561E-2</v>
      </c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</row>
    <row r="18" spans="1:15" x14ac:dyDescent="0.25">
      <c r="A18" s="74" t="s">
        <v>966</v>
      </c>
      <c r="B18" s="71">
        <f ca="1">ESPELHO!D17</f>
        <v>758188.83959105005</v>
      </c>
      <c r="C18" s="72">
        <f>'CRONOGRAMA P1'!C18</f>
        <v>5.3511689567931314E-2</v>
      </c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</row>
    <row r="19" spans="1:15" x14ac:dyDescent="0.25">
      <c r="A19" s="74" t="s">
        <v>967</v>
      </c>
      <c r="B19" s="71">
        <f ca="1">ESPELHO!D18</f>
        <v>9213.0376800000013</v>
      </c>
      <c r="C19" s="72">
        <f>'CRONOGRAMA P1'!C19</f>
        <v>6.5024066112042767E-4</v>
      </c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</row>
    <row r="20" spans="1:15" x14ac:dyDescent="0.25">
      <c r="A20" s="74" t="s">
        <v>968</v>
      </c>
      <c r="B20" s="71">
        <f ca="1">ESPELHO!D19</f>
        <v>229823.68723055001</v>
      </c>
      <c r="C20" s="72">
        <f>'CRONOGRAMA P1'!C20</f>
        <v>1.6220568233465339E-2</v>
      </c>
      <c r="D20" s="82">
        <v>0.5</v>
      </c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</row>
    <row r="21" spans="1:15" x14ac:dyDescent="0.25">
      <c r="A21" s="74" t="s">
        <v>969</v>
      </c>
      <c r="B21" s="71">
        <f ca="1">ESPELHO!D20</f>
        <v>1975708.2034739</v>
      </c>
      <c r="C21" s="72">
        <f>'CRONOGRAMA P1'!C21</f>
        <v>0.13944215285223069</v>
      </c>
      <c r="D21" s="82">
        <v>0.15</v>
      </c>
      <c r="E21" s="82">
        <v>0.15</v>
      </c>
      <c r="F21" s="82">
        <v>0.15</v>
      </c>
      <c r="G21" s="73"/>
      <c r="H21" s="73"/>
      <c r="I21" s="73"/>
      <c r="J21" s="73"/>
      <c r="K21" s="73"/>
      <c r="L21" s="73"/>
      <c r="M21" s="73"/>
      <c r="N21" s="73"/>
      <c r="O21" s="73"/>
    </row>
    <row r="22" spans="1:15" x14ac:dyDescent="0.25">
      <c r="A22" s="74" t="s">
        <v>970</v>
      </c>
      <c r="B22" s="75">
        <f ca="1">ESPELHO!D21</f>
        <v>106205.13669255</v>
      </c>
      <c r="C22" s="72">
        <f>'CRONOGRAMA P1'!C22</f>
        <v>7.4957794265038862E-3</v>
      </c>
      <c r="D22" s="73"/>
      <c r="E22" s="73"/>
      <c r="F22" s="73"/>
      <c r="G22" s="73"/>
      <c r="H22" s="73"/>
      <c r="I22" s="73"/>
      <c r="J22" s="82">
        <v>0.5</v>
      </c>
      <c r="K22" s="82">
        <v>0.5</v>
      </c>
      <c r="L22" s="73"/>
      <c r="M22" s="73"/>
      <c r="N22" s="73"/>
      <c r="O22" s="73"/>
    </row>
    <row r="23" spans="1:15" x14ac:dyDescent="0.25">
      <c r="A23" s="74" t="s">
        <v>971</v>
      </c>
      <c r="B23" s="75">
        <f ca="1">ESPELHO!D22</f>
        <v>64085.505896999995</v>
      </c>
      <c r="C23" s="72">
        <f>'CRONOGRAMA P1'!C23</f>
        <v>4.523046922207132E-3</v>
      </c>
      <c r="D23" s="82">
        <v>0.5</v>
      </c>
      <c r="E23" s="82">
        <v>0.5</v>
      </c>
      <c r="F23" s="76"/>
      <c r="G23" s="73"/>
      <c r="H23" s="73"/>
      <c r="I23" s="73"/>
      <c r="J23" s="73"/>
      <c r="K23" s="73"/>
      <c r="L23" s="73"/>
      <c r="M23" s="73"/>
      <c r="N23" s="73"/>
      <c r="O23" s="73"/>
    </row>
    <row r="24" spans="1:15" x14ac:dyDescent="0.25">
      <c r="A24" s="74" t="s">
        <v>972</v>
      </c>
      <c r="B24" s="75">
        <f ca="1">ESPELHO!D23</f>
        <v>301378.29226085002</v>
      </c>
      <c r="C24" s="72">
        <f>'CRONOGRAMA P1'!C24</f>
        <v>2.1270771575422509E-2</v>
      </c>
      <c r="D24" s="73"/>
      <c r="E24" s="73"/>
      <c r="F24" s="82">
        <v>0.3</v>
      </c>
      <c r="G24" s="82">
        <v>0.3</v>
      </c>
      <c r="H24" s="82">
        <v>0.4</v>
      </c>
      <c r="I24" s="73"/>
      <c r="J24" s="73"/>
      <c r="K24" s="73"/>
      <c r="L24" s="73"/>
      <c r="M24" s="73"/>
      <c r="N24" s="73"/>
      <c r="O24" s="73"/>
    </row>
    <row r="25" spans="1:15" ht="22.5" x14ac:dyDescent="0.25">
      <c r="A25" s="74" t="s">
        <v>973</v>
      </c>
      <c r="B25" s="75">
        <f ca="1">ESPELHO!D24</f>
        <v>397907.84022255003</v>
      </c>
      <c r="C25" s="72">
        <f>'CRONOGRAMA P1'!C25</f>
        <v>2.8083664267756731E-2</v>
      </c>
      <c r="D25" s="73"/>
      <c r="E25" s="73"/>
      <c r="F25" s="73"/>
      <c r="G25" s="73"/>
      <c r="H25" s="82">
        <v>0.25</v>
      </c>
      <c r="I25" s="82">
        <v>0.3</v>
      </c>
      <c r="J25" s="73"/>
      <c r="K25" s="73"/>
      <c r="L25" s="73"/>
      <c r="M25" s="73"/>
      <c r="N25" s="73"/>
      <c r="O25" s="73"/>
    </row>
    <row r="26" spans="1:15" ht="22.5" x14ac:dyDescent="0.25">
      <c r="A26" s="74" t="s">
        <v>974</v>
      </c>
      <c r="B26" s="71">
        <f ca="1">ESPELHO!D25</f>
        <v>1326033.2190735003</v>
      </c>
      <c r="C26" s="72">
        <f>'CRONOGRAMA P1'!C26</f>
        <v>9.3589188168608631E-2</v>
      </c>
      <c r="D26" s="73"/>
      <c r="E26" s="73"/>
      <c r="F26" s="73"/>
      <c r="G26" s="73"/>
      <c r="H26" s="73"/>
      <c r="I26" s="82">
        <v>0.3</v>
      </c>
      <c r="J26" s="82">
        <v>0.2</v>
      </c>
      <c r="K26" s="82">
        <v>0.2</v>
      </c>
      <c r="L26" s="82">
        <v>0.2</v>
      </c>
      <c r="M26" s="73"/>
      <c r="N26" s="73"/>
      <c r="O26" s="73"/>
    </row>
    <row r="27" spans="1:15" ht="22.5" x14ac:dyDescent="0.25">
      <c r="A27" s="74" t="s">
        <v>975</v>
      </c>
      <c r="B27" s="71">
        <f ca="1">ESPELHO!D26</f>
        <v>38902.053120000004</v>
      </c>
      <c r="C27" s="72">
        <f>'CRONOGRAMA P1'!C27</f>
        <v>2.7456412985918444E-3</v>
      </c>
      <c r="D27" s="82">
        <v>1</v>
      </c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</row>
    <row r="28" spans="1:15" ht="22.5" x14ac:dyDescent="0.25">
      <c r="A28" s="74" t="s">
        <v>976</v>
      </c>
      <c r="B28" s="71">
        <f ca="1">ESPELHO!D27</f>
        <v>804229.40515574999</v>
      </c>
      <c r="C28" s="72">
        <f>'CRONOGRAMA P1'!C28</f>
        <v>5.6761155035345852E-2</v>
      </c>
      <c r="D28" s="73"/>
      <c r="E28" s="73"/>
      <c r="F28" s="82">
        <v>0.25</v>
      </c>
      <c r="G28" s="82">
        <v>0.25</v>
      </c>
      <c r="H28" s="82">
        <v>0.35</v>
      </c>
      <c r="I28" s="73"/>
      <c r="J28" s="73"/>
      <c r="K28" s="73"/>
      <c r="L28" s="73"/>
      <c r="M28" s="73"/>
      <c r="N28" s="73"/>
      <c r="O28" s="73"/>
    </row>
    <row r="29" spans="1:15" ht="22.5" x14ac:dyDescent="0.25">
      <c r="A29" s="74" t="s">
        <v>977</v>
      </c>
      <c r="B29" s="71">
        <f ca="1">ESPELHO!D28</f>
        <v>546909.80403675011</v>
      </c>
      <c r="C29" s="72">
        <f>'CRONOGRAMA P1'!C29</f>
        <v>3.8599971573121776E-2</v>
      </c>
      <c r="D29" s="73"/>
      <c r="E29" s="73"/>
      <c r="F29" s="73"/>
      <c r="G29" s="73"/>
      <c r="H29" s="82">
        <v>0.2</v>
      </c>
      <c r="I29" s="82">
        <v>0.2</v>
      </c>
      <c r="J29" s="73"/>
      <c r="K29" s="73"/>
      <c r="L29" s="73"/>
      <c r="M29" s="73"/>
      <c r="N29" s="73"/>
      <c r="O29" s="73"/>
    </row>
    <row r="30" spans="1:15" ht="22.5" x14ac:dyDescent="0.25">
      <c r="A30" s="74" t="s">
        <v>1169</v>
      </c>
      <c r="B30" s="71">
        <f ca="1">ESPELHO!D29</f>
        <v>157586.69086755</v>
      </c>
      <c r="C30" s="72">
        <f>'CRONOGRAMA P1'!C30</f>
        <v>1.1122202862139618E-2</v>
      </c>
      <c r="D30" s="73"/>
      <c r="E30" s="73"/>
      <c r="F30" s="73"/>
      <c r="G30" s="73"/>
      <c r="H30" s="73"/>
      <c r="I30" s="73"/>
      <c r="J30" s="73"/>
      <c r="K30" s="73"/>
      <c r="L30" s="114">
        <v>0.3</v>
      </c>
      <c r="M30" s="114">
        <v>0.3</v>
      </c>
      <c r="N30" s="73"/>
      <c r="O30" s="73"/>
    </row>
    <row r="31" spans="1:15" x14ac:dyDescent="0.25">
      <c r="A31" s="74" t="s">
        <v>1167</v>
      </c>
      <c r="B31" s="71">
        <f ca="1">ESPELHO!D30</f>
        <v>3132.1477656000002</v>
      </c>
      <c r="C31" s="72">
        <f>'CRONOGRAMA P1'!C31</f>
        <v>2.2106170674324364E-4</v>
      </c>
      <c r="D31" s="73"/>
      <c r="E31" s="73"/>
      <c r="F31" s="73"/>
      <c r="G31" s="73"/>
      <c r="H31" s="73"/>
      <c r="I31" s="73"/>
      <c r="J31" s="73"/>
      <c r="K31" s="73"/>
      <c r="L31" s="73"/>
      <c r="M31" s="82">
        <v>1</v>
      </c>
      <c r="N31" s="73"/>
      <c r="O31" s="73"/>
    </row>
    <row r="32" spans="1:15" x14ac:dyDescent="0.25">
      <c r="A32" s="74" t="s">
        <v>1168</v>
      </c>
      <c r="B32" s="71">
        <f ca="1">ESPELHO!D31</f>
        <v>46664.314830000003</v>
      </c>
      <c r="C32" s="72">
        <f>'CRONOGRAMA P1'!C32</f>
        <v>3.2934886385693118E-3</v>
      </c>
      <c r="D32" s="73"/>
      <c r="E32" s="73"/>
      <c r="F32" s="73"/>
      <c r="G32" s="73"/>
      <c r="H32" s="73"/>
      <c r="I32" s="73"/>
      <c r="J32" s="73"/>
      <c r="K32" s="73"/>
      <c r="L32" s="73"/>
      <c r="M32" s="82">
        <v>1</v>
      </c>
      <c r="N32" s="73"/>
      <c r="O32" s="73"/>
    </row>
    <row r="33" spans="1:20" x14ac:dyDescent="0.25">
      <c r="A33" s="77" t="s">
        <v>219</v>
      </c>
      <c r="B33" s="78">
        <f ca="1">SUM(B11:B32)</f>
        <v>14168658.207447449</v>
      </c>
      <c r="C33" s="79">
        <f>SUM(C11:C32)</f>
        <v>1.0000000000000002</v>
      </c>
      <c r="D33" s="81">
        <f>C20*D20+C21*D21+C23*D23+C27*D27</f>
        <v>3.4033771804262682E-2</v>
      </c>
      <c r="E33" s="81">
        <f>C21*E21+C23*E23</f>
        <v>2.3177846388938168E-2</v>
      </c>
      <c r="F33" s="81">
        <f>C21*F21+C24*F24+C28*F28</f>
        <v>4.1487843159297814E-2</v>
      </c>
      <c r="G33" s="81">
        <f>C24*G24+C28*G28</f>
        <v>2.0571520231463216E-2</v>
      </c>
      <c r="H33" s="81">
        <f>C24*H24+C25*H25+C28*H28+C29*H29</f>
        <v>4.3115623274103586E-2</v>
      </c>
      <c r="I33" s="81">
        <f>C25*I25+C26*I26+C29*I29</f>
        <v>4.4221850045533966E-2</v>
      </c>
      <c r="J33" s="81">
        <f>C22*J22+C26*J26</f>
        <v>2.246572734697367E-2</v>
      </c>
      <c r="K33" s="81">
        <f>C22*K22+C26*K26</f>
        <v>2.246572734697367E-2</v>
      </c>
      <c r="L33" s="81">
        <f>C26*L26+C30*L30</f>
        <v>2.205449849236361E-2</v>
      </c>
      <c r="M33" s="81">
        <f>+C30*M30+C31*M31+C32*M32</f>
        <v>6.8512112039544413E-3</v>
      </c>
      <c r="N33" s="73"/>
      <c r="O33" s="73">
        <f>SUM(D33:M33)</f>
        <v>0.28044561929386486</v>
      </c>
      <c r="R33" s="44"/>
      <c r="T33" s="44"/>
    </row>
  </sheetData>
  <mergeCells count="3">
    <mergeCell ref="A1:O1"/>
    <mergeCell ref="A2:O2"/>
    <mergeCell ref="A9:O9"/>
  </mergeCells>
  <pageMargins left="0.51181102362204722" right="0.51181102362204722" top="0.78740157480314965" bottom="0.78740157480314965" header="0.31496062992125984" footer="0.31496062992125984"/>
  <pageSetup paperSize="9" scale="10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B12" sqref="B12"/>
    </sheetView>
  </sheetViews>
  <sheetFormatPr defaultRowHeight="15" x14ac:dyDescent="0.25"/>
  <cols>
    <col min="1" max="1" width="23.85546875" style="118" customWidth="1"/>
    <col min="2" max="2" width="59.5703125" style="118" customWidth="1"/>
    <col min="3" max="16384" width="9.140625" style="118"/>
  </cols>
  <sheetData>
    <row r="1" spans="1:6" x14ac:dyDescent="0.25">
      <c r="A1" s="116"/>
      <c r="B1" s="116" t="s">
        <v>1177</v>
      </c>
      <c r="F1" s="118" t="s">
        <v>1202</v>
      </c>
    </row>
    <row r="2" spans="1:6" x14ac:dyDescent="0.25">
      <c r="A2" s="116" t="s">
        <v>1178</v>
      </c>
      <c r="B2" s="116" t="s">
        <v>1177</v>
      </c>
      <c r="D2" s="118" t="s">
        <v>1200</v>
      </c>
      <c r="E2" s="118">
        <v>0.27500000000000002</v>
      </c>
      <c r="F2" s="118">
        <f>E2+E3</f>
        <v>0.67</v>
      </c>
    </row>
    <row r="3" spans="1:6" x14ac:dyDescent="0.25">
      <c r="A3" s="116" t="s">
        <v>1179</v>
      </c>
      <c r="B3" s="116" t="s">
        <v>1177</v>
      </c>
      <c r="D3" s="118" t="s">
        <v>1201</v>
      </c>
      <c r="E3" s="118">
        <v>0.39500000000000002</v>
      </c>
      <c r="F3" s="118" t="s">
        <v>1199</v>
      </c>
    </row>
    <row r="4" spans="1:6" x14ac:dyDescent="0.25">
      <c r="A4" s="116" t="s">
        <v>1180</v>
      </c>
      <c r="B4" s="116" t="s">
        <v>1177</v>
      </c>
      <c r="D4" s="118" t="s">
        <v>1198</v>
      </c>
      <c r="E4" s="118">
        <v>12.93</v>
      </c>
      <c r="F4" s="118">
        <f>(F$2*E4^2/8)*1.4</f>
        <v>19.602429525000002</v>
      </c>
    </row>
    <row r="5" spans="1:6" x14ac:dyDescent="0.25">
      <c r="A5" s="117" t="s">
        <v>1181</v>
      </c>
      <c r="B5" s="117" t="s">
        <v>1182</v>
      </c>
      <c r="D5" s="118" t="s">
        <v>1198</v>
      </c>
      <c r="E5" s="118">
        <v>12.33</v>
      </c>
      <c r="F5" s="118">
        <f t="shared" ref="F5:F6" si="0">(F$2*E5^2/8)*1.4</f>
        <v>17.825388524999997</v>
      </c>
    </row>
    <row r="6" spans="1:6" x14ac:dyDescent="0.25">
      <c r="A6" s="116" t="str">
        <f>SUBSTITUTE(A2, "Vendas", "Valor")</f>
        <v>Dados de Valor</v>
      </c>
      <c r="B6" s="116" t="s">
        <v>1183</v>
      </c>
      <c r="D6" s="118" t="s">
        <v>1198</v>
      </c>
      <c r="E6" s="118">
        <v>10.67</v>
      </c>
      <c r="F6" s="118">
        <f t="shared" si="0"/>
        <v>13.348783524999998</v>
      </c>
    </row>
    <row r="7" spans="1:6" x14ac:dyDescent="0.25">
      <c r="A7" s="116" t="str">
        <f>SUBSTITUTE(A3, "2", "13",1)</f>
        <v>Trimestre 1, 13008</v>
      </c>
      <c r="B7" s="116" t="s">
        <v>1184</v>
      </c>
    </row>
    <row r="8" spans="1:6" x14ac:dyDescent="0.25">
      <c r="A8" s="116" t="str">
        <f>SUBSTITUTE(A4, "1", "10",3)</f>
        <v>Trimestre 1, 20110</v>
      </c>
      <c r="B8" s="116" t="s">
        <v>1185</v>
      </c>
    </row>
    <row r="14" spans="1:6" x14ac:dyDescent="0.25">
      <c r="A14" s="118">
        <f ca="1">SUBSTITUTE(A14,B14,B14)</f>
        <v>0</v>
      </c>
      <c r="B14" s="118">
        <v>20</v>
      </c>
      <c r="C14" s="118">
        <v>20</v>
      </c>
    </row>
    <row r="15" spans="1:6" x14ac:dyDescent="0.25">
      <c r="A15" s="118">
        <v>5</v>
      </c>
      <c r="B15" s="118">
        <v>30</v>
      </c>
      <c r="C15" s="118">
        <v>20</v>
      </c>
    </row>
    <row r="16" spans="1:6" x14ac:dyDescent="0.25">
      <c r="A16" s="118">
        <v>7</v>
      </c>
      <c r="B16" s="118">
        <v>40</v>
      </c>
      <c r="C16" s="118">
        <v>20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workbookViewId="0">
      <selection activeCell="N15" sqref="N15"/>
    </sheetView>
  </sheetViews>
  <sheetFormatPr defaultRowHeight="15" x14ac:dyDescent="0.25"/>
  <cols>
    <col min="1" max="1" width="22.5703125" customWidth="1"/>
  </cols>
  <sheetData>
    <row r="2" spans="1:9" x14ac:dyDescent="0.25">
      <c r="A2" t="s">
        <v>1210</v>
      </c>
    </row>
    <row r="4" spans="1:9" x14ac:dyDescent="0.25">
      <c r="A4" t="s">
        <v>1211</v>
      </c>
      <c r="B4" t="s">
        <v>1212</v>
      </c>
      <c r="C4">
        <v>1</v>
      </c>
      <c r="D4">
        <v>172.1</v>
      </c>
      <c r="E4">
        <f>C4*D4</f>
        <v>172.1</v>
      </c>
      <c r="I4">
        <f>SUM(C4:E4)</f>
        <v>345.2</v>
      </c>
    </row>
    <row r="5" spans="1:9" x14ac:dyDescent="0.25">
      <c r="A5" t="s">
        <v>1213</v>
      </c>
      <c r="B5" t="s">
        <v>6</v>
      </c>
      <c r="C5">
        <v>2.63</v>
      </c>
      <c r="D5">
        <v>475</v>
      </c>
      <c r="E5">
        <f t="shared" ref="E5:E7" si="0">C5*D5</f>
        <v>1249.25</v>
      </c>
      <c r="G5">
        <v>1.89</v>
      </c>
      <c r="H5">
        <f>2.63*D5/G5</f>
        <v>660.97883597883606</v>
      </c>
      <c r="I5">
        <f>H5*C5</f>
        <v>1738.3743386243389</v>
      </c>
    </row>
    <row r="6" spans="1:9" x14ac:dyDescent="0.25">
      <c r="A6" t="s">
        <v>1214</v>
      </c>
      <c r="B6" t="s">
        <v>1216</v>
      </c>
      <c r="C6">
        <v>1.867</v>
      </c>
      <c r="D6">
        <v>26.29</v>
      </c>
      <c r="E6">
        <f t="shared" si="0"/>
        <v>49.08343</v>
      </c>
      <c r="G6">
        <v>1.867</v>
      </c>
      <c r="H6">
        <f>C5*D5/1.867</f>
        <v>669.121585431173</v>
      </c>
      <c r="I6">
        <f>H6*C6</f>
        <v>1249.25</v>
      </c>
    </row>
    <row r="7" spans="1:9" x14ac:dyDescent="0.25">
      <c r="A7" t="s">
        <v>1215</v>
      </c>
      <c r="B7" t="s">
        <v>1216</v>
      </c>
      <c r="C7">
        <v>1.92</v>
      </c>
      <c r="D7">
        <v>26.34</v>
      </c>
      <c r="E7">
        <f t="shared" si="0"/>
        <v>50.572800000000001</v>
      </c>
      <c r="G7">
        <v>1.92</v>
      </c>
      <c r="H7">
        <f>C5*D7/C7</f>
        <v>36.080312499999998</v>
      </c>
      <c r="I7">
        <f>H7*C7</f>
        <v>69.274199999999993</v>
      </c>
    </row>
    <row r="8" spans="1:9" x14ac:dyDescent="0.25">
      <c r="D8" t="s">
        <v>1217</v>
      </c>
      <c r="E8">
        <f>SUM(E4:E7)</f>
        <v>1521.0062299999997</v>
      </c>
      <c r="I8">
        <f>SUM(I4:I7)</f>
        <v>3402.0985386243387</v>
      </c>
    </row>
    <row r="13" spans="1:9" x14ac:dyDescent="0.25">
      <c r="B13" t="s">
        <v>1224</v>
      </c>
      <c r="C13" t="s">
        <v>1218</v>
      </c>
      <c r="D13" t="s">
        <v>1224</v>
      </c>
    </row>
    <row r="14" spans="1:9" x14ac:dyDescent="0.25">
      <c r="B14" t="s">
        <v>1216</v>
      </c>
      <c r="C14" t="s">
        <v>1219</v>
      </c>
      <c r="D14" t="s">
        <v>1216</v>
      </c>
    </row>
    <row r="15" spans="1:9" x14ac:dyDescent="0.25">
      <c r="B15" t="s">
        <v>1225</v>
      </c>
      <c r="C15" t="s">
        <v>1220</v>
      </c>
      <c r="D15" t="s">
        <v>1225</v>
      </c>
    </row>
    <row r="16" spans="1:9" x14ac:dyDescent="0.25">
      <c r="B16" t="s">
        <v>1226</v>
      </c>
      <c r="C16" t="s">
        <v>1221</v>
      </c>
      <c r="D16" t="s">
        <v>1226</v>
      </c>
    </row>
    <row r="17" spans="1:10" x14ac:dyDescent="0.25">
      <c r="B17" t="s">
        <v>1227</v>
      </c>
      <c r="C17" t="s">
        <v>1222</v>
      </c>
      <c r="D17" t="s">
        <v>1227</v>
      </c>
    </row>
    <row r="18" spans="1:10" x14ac:dyDescent="0.25">
      <c r="B18" t="s">
        <v>1228</v>
      </c>
      <c r="C18" t="s">
        <v>1223</v>
      </c>
      <c r="D18" t="s">
        <v>1228</v>
      </c>
    </row>
    <row r="20" spans="1:10" ht="89.25" x14ac:dyDescent="0.25">
      <c r="A20" s="120" t="s">
        <v>1229</v>
      </c>
      <c r="B20" s="120" t="s">
        <v>1230</v>
      </c>
      <c r="C20" s="121" t="s">
        <v>6</v>
      </c>
      <c r="D20" s="126">
        <v>1237.45</v>
      </c>
      <c r="E20" s="122">
        <v>39.04</v>
      </c>
      <c r="F20" s="126">
        <v>1276.49</v>
      </c>
    </row>
    <row r="21" spans="1:10" ht="51" x14ac:dyDescent="0.25">
      <c r="A21" s="120" t="s">
        <v>1231</v>
      </c>
      <c r="B21" s="120" t="s">
        <v>1232</v>
      </c>
      <c r="C21" s="121" t="s">
        <v>1192</v>
      </c>
      <c r="D21" s="122">
        <v>364.81</v>
      </c>
      <c r="E21" s="122">
        <v>32.450000000000003</v>
      </c>
      <c r="F21" s="122">
        <v>397.26</v>
      </c>
    </row>
    <row r="22" spans="1:10" x14ac:dyDescent="0.25">
      <c r="F22" s="125">
        <f>F20+F21</f>
        <v>1673.75</v>
      </c>
    </row>
    <row r="25" spans="1:10" ht="102" x14ac:dyDescent="0.25">
      <c r="A25" s="127">
        <v>69</v>
      </c>
      <c r="B25" s="127" t="s">
        <v>1233</v>
      </c>
      <c r="C25" s="128" t="s">
        <v>1234</v>
      </c>
      <c r="D25" s="129" t="s">
        <v>1235</v>
      </c>
      <c r="E25" s="129" t="s">
        <v>1059</v>
      </c>
      <c r="F25" s="129" t="s">
        <v>1236</v>
      </c>
      <c r="G25" s="128" t="s">
        <v>12</v>
      </c>
      <c r="H25" s="129">
        <v>11.41</v>
      </c>
      <c r="I25" s="129">
        <v>10.01</v>
      </c>
      <c r="J25" s="129">
        <v>21.4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7</vt:i4>
      </vt:variant>
    </vt:vector>
  </HeadingPairs>
  <TitlesOfParts>
    <vt:vector size="15" baseType="lpstr">
      <vt:lpstr>Orçamento</vt:lpstr>
      <vt:lpstr>BDI</vt:lpstr>
      <vt:lpstr>ESPELHO</vt:lpstr>
      <vt:lpstr>CRONOGRAMA P1</vt:lpstr>
      <vt:lpstr>CRONOGRAMA P2</vt:lpstr>
      <vt:lpstr>Plan1</vt:lpstr>
      <vt:lpstr>Plan2</vt:lpstr>
      <vt:lpstr>Plan3</vt:lpstr>
      <vt:lpstr>BDI!Area_de_impressao</vt:lpstr>
      <vt:lpstr>'CRONOGRAMA P1'!Area_de_impressao</vt:lpstr>
      <vt:lpstr>'CRONOGRAMA P2'!Area_de_impressao</vt:lpstr>
      <vt:lpstr>Orçamento!Area_de_impressao</vt:lpstr>
      <vt:lpstr>'CRONOGRAMA P1'!Titulos_de_impressao</vt:lpstr>
      <vt:lpstr>'CRONOGRAMA P2'!Titulos_de_impressao</vt:lpstr>
      <vt:lpstr>Orçamento!Titulos_de_impressao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evento</cp:lastModifiedBy>
  <cp:lastPrinted>2023-12-05T12:45:12Z</cp:lastPrinted>
  <dcterms:created xsi:type="dcterms:W3CDTF">2020-11-23T14:16:29Z</dcterms:created>
  <dcterms:modified xsi:type="dcterms:W3CDTF">2023-12-07T12:10:41Z</dcterms:modified>
</cp:coreProperties>
</file>